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4e34f9d215cb8d01/Documents/ISO/42001/TEMPLATES/"/>
    </mc:Choice>
  </mc:AlternateContent>
  <xr:revisionPtr revIDLastSave="0" documentId="8_{303F4473-8BDC-4FD9-B442-006480DF16AF}" xr6:coauthVersionLast="47" xr6:coauthVersionMax="47" xr10:uidLastSave="{00000000-0000-0000-0000-000000000000}"/>
  <bookViews>
    <workbookView xWindow="-108" yWindow="-108" windowWidth="23256" windowHeight="12456" xr2:uid="{00000000-000D-0000-FFFF-FFFF00000000}"/>
  </bookViews>
  <sheets>
    <sheet name="Dashboard" sheetId="1" r:id="rId1"/>
    <sheet name="Risk Register" sheetId="2" r:id="rId2"/>
    <sheet name="Regulatory Referenc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2" l="1"/>
  <c r="P45" i="2" s="1"/>
  <c r="T45" i="2" s="1"/>
  <c r="I45" i="2"/>
  <c r="J45" i="2" s="1"/>
  <c r="O44" i="2"/>
  <c r="P44" i="2" s="1"/>
  <c r="T44" i="2" s="1"/>
  <c r="I44" i="2"/>
  <c r="J44" i="2" s="1"/>
  <c r="P43" i="2"/>
  <c r="T43" i="2" s="1"/>
  <c r="O43" i="2"/>
  <c r="I43" i="2"/>
  <c r="J43" i="2" s="1"/>
  <c r="O42" i="2"/>
  <c r="P42" i="2" s="1"/>
  <c r="T42" i="2" s="1"/>
  <c r="I42" i="2"/>
  <c r="J42" i="2" s="1"/>
  <c r="O41" i="2"/>
  <c r="P41" i="2" s="1"/>
  <c r="T41" i="2" s="1"/>
  <c r="J41" i="2"/>
  <c r="I41" i="2"/>
  <c r="O40" i="2"/>
  <c r="P40" i="2" s="1"/>
  <c r="T40" i="2" s="1"/>
  <c r="J40" i="2"/>
  <c r="I40" i="2"/>
  <c r="P39" i="2"/>
  <c r="T39" i="2" s="1"/>
  <c r="O39" i="2"/>
  <c r="I39" i="2"/>
  <c r="J39" i="2" s="1"/>
  <c r="T38" i="2"/>
  <c r="P38" i="2"/>
  <c r="O38" i="2"/>
  <c r="I38" i="2"/>
  <c r="J38" i="2" s="1"/>
  <c r="O37" i="2"/>
  <c r="P37" i="2" s="1"/>
  <c r="T37" i="2" s="1"/>
  <c r="J37" i="2"/>
  <c r="I37" i="2"/>
  <c r="O36" i="2"/>
  <c r="P36" i="2" s="1"/>
  <c r="T36" i="2" s="1"/>
  <c r="I36" i="2"/>
  <c r="J36" i="2" s="1"/>
  <c r="P35" i="2"/>
  <c r="T35" i="2" s="1"/>
  <c r="O35" i="2"/>
  <c r="I35" i="2"/>
  <c r="J35" i="2" s="1"/>
  <c r="O34" i="2"/>
  <c r="P34" i="2" s="1"/>
  <c r="T34" i="2" s="1"/>
  <c r="I34" i="2"/>
  <c r="J34" i="2" s="1"/>
  <c r="O33" i="2"/>
  <c r="P33" i="2" s="1"/>
  <c r="T33" i="2" s="1"/>
  <c r="J33" i="2"/>
  <c r="I33" i="2"/>
  <c r="O32" i="2"/>
  <c r="P32" i="2" s="1"/>
  <c r="T32" i="2" s="1"/>
  <c r="J32" i="2"/>
  <c r="I32" i="2"/>
  <c r="P31" i="2"/>
  <c r="T31" i="2" s="1"/>
  <c r="O31" i="2"/>
  <c r="I31" i="2"/>
  <c r="J31" i="2" s="1"/>
  <c r="T30" i="2"/>
  <c r="P30" i="2"/>
  <c r="O30" i="2"/>
  <c r="I30" i="2"/>
  <c r="J30" i="2" s="1"/>
  <c r="O29" i="2"/>
  <c r="P29" i="2" s="1"/>
  <c r="T29" i="2" s="1"/>
  <c r="J29" i="2"/>
  <c r="I29" i="2"/>
  <c r="O28" i="2"/>
  <c r="P28" i="2" s="1"/>
  <c r="T28" i="2" s="1"/>
  <c r="I28" i="2"/>
  <c r="J28" i="2" s="1"/>
  <c r="P27" i="2"/>
  <c r="T27" i="2" s="1"/>
  <c r="O27" i="2"/>
  <c r="I27" i="2"/>
  <c r="J27" i="2" s="1"/>
  <c r="O26" i="2"/>
  <c r="P26" i="2" s="1"/>
  <c r="T26" i="2" s="1"/>
  <c r="I26" i="2"/>
  <c r="J26" i="2" s="1"/>
  <c r="O25" i="2"/>
  <c r="P25" i="2" s="1"/>
  <c r="T25" i="2" s="1"/>
  <c r="J25" i="2"/>
  <c r="I25" i="2"/>
  <c r="O24" i="2"/>
  <c r="P24" i="2" s="1"/>
  <c r="T24" i="2" s="1"/>
  <c r="J24" i="2"/>
  <c r="I24" i="2"/>
  <c r="P23" i="2"/>
  <c r="T23" i="2" s="1"/>
  <c r="O23" i="2"/>
  <c r="I23" i="2"/>
  <c r="J23" i="2" s="1"/>
  <c r="T22" i="2"/>
  <c r="P22" i="2"/>
  <c r="O22" i="2"/>
  <c r="I22" i="2"/>
  <c r="J22" i="2" s="1"/>
  <c r="O21" i="2"/>
  <c r="P21" i="2" s="1"/>
  <c r="T21" i="2" s="1"/>
  <c r="J21" i="2"/>
  <c r="I21" i="2"/>
  <c r="O20" i="2"/>
  <c r="P20" i="2" s="1"/>
  <c r="T20" i="2" s="1"/>
  <c r="I20" i="2"/>
  <c r="J20" i="2" s="1"/>
  <c r="P19" i="2"/>
  <c r="T19" i="2" s="1"/>
  <c r="O19" i="2"/>
  <c r="I19" i="2"/>
  <c r="J19" i="2" s="1"/>
  <c r="O18" i="2"/>
  <c r="P18" i="2" s="1"/>
  <c r="T18" i="2" s="1"/>
  <c r="I18" i="2"/>
  <c r="J18" i="2" s="1"/>
  <c r="O17" i="2"/>
  <c r="P17" i="2" s="1"/>
  <c r="T17" i="2" s="1"/>
  <c r="J17" i="2"/>
  <c r="I17" i="2"/>
  <c r="O16" i="2"/>
  <c r="P16" i="2" s="1"/>
  <c r="T16" i="2" s="1"/>
  <c r="J16" i="2"/>
  <c r="I16" i="2"/>
  <c r="P15" i="2"/>
  <c r="T15" i="2" s="1"/>
  <c r="O15" i="2"/>
  <c r="I15" i="2"/>
  <c r="J15" i="2" s="1"/>
  <c r="T14" i="2"/>
  <c r="P14" i="2"/>
  <c r="O14" i="2"/>
  <c r="I14" i="2"/>
  <c r="J14" i="2" s="1"/>
  <c r="O13" i="2"/>
  <c r="P13" i="2" s="1"/>
  <c r="T13" i="2" s="1"/>
  <c r="J13" i="2"/>
  <c r="I13" i="2"/>
  <c r="O12" i="2"/>
  <c r="P12" i="2" s="1"/>
  <c r="T12" i="2" s="1"/>
  <c r="I12" i="2"/>
  <c r="J12" i="2" s="1"/>
  <c r="P11" i="2"/>
  <c r="T11" i="2" s="1"/>
  <c r="O11" i="2"/>
  <c r="I11" i="2"/>
  <c r="J11" i="2" s="1"/>
  <c r="O10" i="2"/>
  <c r="P10" i="2" s="1"/>
  <c r="T10" i="2" s="1"/>
  <c r="I10" i="2"/>
  <c r="J10" i="2" s="1"/>
  <c r="O9" i="2"/>
  <c r="P9" i="2" s="1"/>
  <c r="T9" i="2" s="1"/>
  <c r="J9" i="2"/>
  <c r="I9" i="2"/>
  <c r="O8" i="2"/>
  <c r="P8" i="2" s="1"/>
  <c r="T8" i="2" s="1"/>
  <c r="J8" i="2"/>
  <c r="I8" i="2"/>
  <c r="P7" i="2"/>
  <c r="T7" i="2" s="1"/>
  <c r="O7" i="2"/>
  <c r="I7" i="2"/>
  <c r="J7" i="2" s="1"/>
  <c r="T6" i="2"/>
  <c r="P6" i="2"/>
  <c r="O6" i="2"/>
  <c r="I6" i="2"/>
  <c r="J6" i="2" s="1"/>
  <c r="O5" i="2"/>
  <c r="P5" i="2" s="1"/>
  <c r="T5" i="2" s="1"/>
  <c r="J5" i="2"/>
  <c r="I5" i="2"/>
  <c r="O4" i="2"/>
  <c r="P4" i="2" s="1"/>
  <c r="I4" i="2"/>
  <c r="J4" i="2" s="1"/>
  <c r="P3" i="2"/>
  <c r="T3" i="2" s="1"/>
  <c r="O3" i="2"/>
  <c r="I3" i="2"/>
  <c r="J3" i="2" s="1"/>
  <c r="C26" i="1"/>
  <c r="B26" i="1"/>
  <c r="C25" i="1"/>
  <c r="B25" i="1"/>
  <c r="C24" i="1"/>
  <c r="B24" i="1"/>
  <c r="C23" i="1"/>
  <c r="B23" i="1"/>
  <c r="C22" i="1"/>
  <c r="B22" i="1"/>
  <c r="C21" i="1"/>
  <c r="B21" i="1"/>
  <c r="H20" i="1"/>
  <c r="C20" i="1"/>
  <c r="B20" i="1"/>
  <c r="H19" i="1"/>
  <c r="C19" i="1"/>
  <c r="B19" i="1"/>
  <c r="H18" i="1"/>
  <c r="C18" i="1"/>
  <c r="B18" i="1"/>
  <c r="H17" i="1"/>
  <c r="C17" i="1"/>
  <c r="B17" i="1"/>
  <c r="H16" i="1"/>
  <c r="C16" i="1"/>
  <c r="B16" i="1"/>
  <c r="H15" i="1"/>
  <c r="C15" i="1"/>
  <c r="B15" i="1"/>
  <c r="H14" i="1"/>
  <c r="C14" i="1"/>
  <c r="C27" i="1" s="1"/>
  <c r="B14" i="1"/>
  <c r="B27" i="1" s="1"/>
  <c r="H8" i="1"/>
  <c r="I8" i="1" s="1"/>
  <c r="H7" i="1"/>
  <c r="H9" i="1" s="1"/>
  <c r="H6" i="1"/>
  <c r="I6" i="1" s="1"/>
  <c r="D23" i="1" l="1"/>
  <c r="E23" i="1"/>
  <c r="D21" i="1"/>
  <c r="E21" i="1"/>
  <c r="E18" i="1"/>
  <c r="D18" i="1"/>
  <c r="E24" i="1"/>
  <c r="D24" i="1"/>
  <c r="E20" i="1"/>
  <c r="D20" i="1"/>
  <c r="E15" i="1"/>
  <c r="D15" i="1"/>
  <c r="E22" i="1"/>
  <c r="D22" i="1"/>
  <c r="C8" i="1"/>
  <c r="C6" i="1"/>
  <c r="C10" i="1" s="1"/>
  <c r="C9" i="1"/>
  <c r="T4" i="2"/>
  <c r="C7" i="1"/>
  <c r="E16" i="1"/>
  <c r="D16" i="1"/>
  <c r="E14" i="1"/>
  <c r="B8" i="1"/>
  <c r="D8" i="1" s="1"/>
  <c r="B6" i="1"/>
  <c r="D14" i="1"/>
  <c r="B9" i="1"/>
  <c r="D9" i="1" s="1"/>
  <c r="B7" i="1"/>
  <c r="D7" i="1" s="1"/>
  <c r="D25" i="1"/>
  <c r="E25" i="1"/>
  <c r="E17" i="1"/>
  <c r="D17" i="1"/>
  <c r="E19" i="1"/>
  <c r="D19" i="1"/>
  <c r="E26" i="1"/>
  <c r="D26" i="1"/>
  <c r="I7" i="1"/>
  <c r="I9" i="1" s="1"/>
  <c r="E27" i="1" l="1"/>
  <c r="D27" i="1"/>
  <c r="B10" i="1"/>
  <c r="D6" i="1"/>
  <c r="D10" i="1" s="1"/>
</calcChain>
</file>

<file path=xl/sharedStrings.xml><?xml version="1.0" encoding="utf-8"?>
<sst xmlns="http://schemas.openxmlformats.org/spreadsheetml/2006/main" count="787" uniqueCount="433">
  <si>
    <t>AI Governance Risk Register — Executive Dashboard</t>
  </si>
  <si>
    <t>Organization: Enterprise  |  Report Date: 2026-08-21  |  Prepared by: AI Governance Office</t>
  </si>
  <si>
    <t>RISK SUMMARY BY RATING</t>
  </si>
  <si>
    <t>RISK STATUS SUMMARY</t>
  </si>
  <si>
    <t>Risk Rating</t>
  </si>
  <si>
    <t>Inherent Count</t>
  </si>
  <si>
    <t>Residual Count</t>
  </si>
  <si>
    <t>% of Total</t>
  </si>
  <si>
    <t>Review Cadence</t>
  </si>
  <si>
    <t>Status</t>
  </si>
  <si>
    <t>Count</t>
  </si>
  <si>
    <t>Critical</t>
  </si>
  <si>
    <t>Monthly</t>
  </si>
  <si>
    <t>Open</t>
  </si>
  <si>
    <t>High</t>
  </si>
  <si>
    <t>Quarterly</t>
  </si>
  <si>
    <t>In Progress</t>
  </si>
  <si>
    <t>Medium</t>
  </si>
  <si>
    <t>Semi-Annual</t>
  </si>
  <si>
    <t>Closed</t>
  </si>
  <si>
    <t>Low</t>
  </si>
  <si>
    <t>Annual</t>
  </si>
  <si>
    <t>TOTAL</t>
  </si>
  <si>
    <t>43 risks total</t>
  </si>
  <si>
    <t>RISK COUNT BY CATEGORY</t>
  </si>
  <si>
    <t>REGULATORY DRIVER COVERAGE</t>
  </si>
  <si>
    <t>Risk Category</t>
  </si>
  <si>
    <t>Regulation</t>
  </si>
  <si>
    <t>Risks Mapped</t>
  </si>
  <si>
    <t>Algorithmic Bias</t>
  </si>
  <si>
    <t>Colorado SB 24-205</t>
  </si>
  <si>
    <t>Transparency &amp; Explainability</t>
  </si>
  <si>
    <t>Texas TRAIGA</t>
  </si>
  <si>
    <t>High-Risk AI Classification</t>
  </si>
  <si>
    <t>Illinois HB 3773</t>
  </si>
  <si>
    <t>Data Governance</t>
  </si>
  <si>
    <t>California SB 942</t>
  </si>
  <si>
    <t>Privacy</t>
  </si>
  <si>
    <t>California AB 2013</t>
  </si>
  <si>
    <t>Security</t>
  </si>
  <si>
    <t>California SB 1120</t>
  </si>
  <si>
    <t>Accuracy &amp; Reliability</t>
  </si>
  <si>
    <t>New York AEDT</t>
  </si>
  <si>
    <t>Human Oversight</t>
  </si>
  <si>
    <t>NOTE: Risks may map to multiple laws</t>
  </si>
  <si>
    <t>Ethical Impact</t>
  </si>
  <si>
    <t>Synthetic Media</t>
  </si>
  <si>
    <t>Vendor / Third-Party AI Risk</t>
  </si>
  <si>
    <t>AI Lifecycle Risk</t>
  </si>
  <si>
    <t>Regulatory Compliance</t>
  </si>
  <si>
    <t>SCORING SCALE REFERENCE</t>
  </si>
  <si>
    <t>Scale Value</t>
  </si>
  <si>
    <t>Likelihood Meaning</t>
  </si>
  <si>
    <t>Impact Meaning</t>
  </si>
  <si>
    <t>1 — Rare/Negligible</t>
  </si>
  <si>
    <t>Almost never occurs; no known precedent</t>
  </si>
  <si>
    <t>Negligible operational or regulatory impact</t>
  </si>
  <si>
    <t>2 — Unlikely/Minor</t>
  </si>
  <si>
    <t>Occurs infrequently; rare precedent in industry</t>
  </si>
  <si>
    <t>Minor impact; limited remediation required</t>
  </si>
  <si>
    <t>3 — Possible/Moderate</t>
  </si>
  <si>
    <t>Could occur; some precedent in comparable organizations</t>
  </si>
  <si>
    <t>Moderate impact; manageable remediation effort</t>
  </si>
  <si>
    <t>4 — Likely/Significant</t>
  </si>
  <si>
    <t>Likely to occur; common in industry</t>
  </si>
  <si>
    <t>Significant impact; substantial remediation effort</t>
  </si>
  <si>
    <t>5 — Almost Certain/Severe</t>
  </si>
  <si>
    <t>Expected to occur; well-documented threat vector</t>
  </si>
  <si>
    <t>Severe impact; major regulatory, financial, or reputational harm</t>
  </si>
  <si>
    <t>RATING THRESHOLDS</t>
  </si>
  <si>
    <t>Rating</t>
  </si>
  <si>
    <t>Score Range</t>
  </si>
  <si>
    <t>Review Frequency</t>
  </si>
  <si>
    <t>≥ 16  (e.g., 4×4, 4×5, 5×5)</t>
  </si>
  <si>
    <t>10 – 15  (e.g., 2×5, 3×4)</t>
  </si>
  <si>
    <t>5 – 9   (e.g., 2×3, 3×3)</t>
  </si>
  <si>
    <t>1 – 4   (e.g., 1×1, 2×2)</t>
  </si>
  <si>
    <t>AI Governance Risk Register — Enterprise Organization</t>
  </si>
  <si>
    <t>Risk ID</t>
  </si>
  <si>
    <t>Risk Name</t>
  </si>
  <si>
    <t>Risk Description</t>
  </si>
  <si>
    <t>Regulatory Driver(s)</t>
  </si>
  <si>
    <t>Affected Business Domain</t>
  </si>
  <si>
    <t>Inherent Likelihood (1-5)</t>
  </si>
  <si>
    <t>Inherent Impact (1-5)</t>
  </si>
  <si>
    <t>Inherent Risk Score</t>
  </si>
  <si>
    <t>Existing Controls</t>
  </si>
  <si>
    <t>Control Effectiveness</t>
  </si>
  <si>
    <t>Residual Likelihood (1-5)</t>
  </si>
  <si>
    <t>Residual Impact (1-5)</t>
  </si>
  <si>
    <t>Residual Risk Score</t>
  </si>
  <si>
    <t>Residual Risk Rating</t>
  </si>
  <si>
    <t>Recommended Additional Controls</t>
  </si>
  <si>
    <t>Risk Owner (Role)</t>
  </si>
  <si>
    <t>Control Owner (Role)</t>
  </si>
  <si>
    <t>Last Review Date</t>
  </si>
  <si>
    <t>Next Review Date</t>
  </si>
  <si>
    <t>Notes</t>
  </si>
  <si>
    <t>RR-001</t>
  </si>
  <si>
    <t>Discriminatory outputs in hiring/HR decisions</t>
  </si>
  <si>
    <t>AI model produces systematically biased recommendations against protected classes in recruitment, performance review, or promotion decisions.</t>
  </si>
  <si>
    <t>Illinois HB 3773; New York AEDT; Texas TRAIGA; Colorado SB 24-205</t>
  </si>
  <si>
    <t>Human Resources</t>
  </si>
  <si>
    <t>Annual bias audits; disparate impact analysis; diverse training data review</t>
  </si>
  <si>
    <t>Strong</t>
  </si>
  <si>
    <t>Real-time bias monitoring dashboard; third-party audit annually</t>
  </si>
  <si>
    <t>Chief People Officer</t>
  </si>
  <si>
    <t>Pending</t>
  </si>
  <si>
    <t>RR-002</t>
  </si>
  <si>
    <t>Bias in credit/lending AI</t>
  </si>
  <si>
    <t>AI-driven credit scoring or loan underwriting produces disparate outcomes by race, gender, or zip code.</t>
  </si>
  <si>
    <t>Colorado SB 24-205; Texas TRAIGA</t>
  </si>
  <si>
    <t>Financial Services</t>
  </si>
  <si>
    <t>Model fairness testing; regulatory credit model review; adverse action notices</t>
  </si>
  <si>
    <t>Moderate</t>
  </si>
  <si>
    <t>Disparate impact testing by protected class; third-party credit model audit</t>
  </si>
  <si>
    <t>Chief Risk Officer</t>
  </si>
  <si>
    <t>RR-003</t>
  </si>
  <si>
    <t>Bias in healthcare utilization management</t>
  </si>
  <si>
    <t>AI used for prior authorization or coverage decisions reflects historical disparities, disadvantaging certain patient populations.</t>
  </si>
  <si>
    <t>California SB 1120; Colorado SB 24-205</t>
  </si>
  <si>
    <t>Healthcare</t>
  </si>
  <si>
    <t>Clinical review protocols; human override requirement; equity analysis</t>
  </si>
  <si>
    <t>Population equity analysis; human review for all denials; bias audit of clinical AI</t>
  </si>
  <si>
    <t>Chief Medical Officer</t>
  </si>
  <si>
    <t>RR-004</t>
  </si>
  <si>
    <t>Bias in marketing personalization</t>
  </si>
  <si>
    <t>Recommendation and targeting algorithms deliver materially different content or pricing to users based on protected characteristics.</t>
  </si>
  <si>
    <t>Texas TRAIGA; Colorado SB 24-205</t>
  </si>
  <si>
    <t>Marketing</t>
  </si>
  <si>
    <t>Audience segmentation review; legal sign-off on targeting criteria</t>
  </si>
  <si>
    <t>Protected-class exclusion audits; price fairness monitoring; annual bias review</t>
  </si>
  <si>
    <t>Chief Marketing Officer</t>
  </si>
  <si>
    <t>RR-005</t>
  </si>
  <si>
    <t>Lack of AI decision explainability</t>
  </si>
  <si>
    <t>Automated decisions affecting consumers (credit, employment, insurance) cannot be explained in plain language, preventing meaningful appeal or recourse.</t>
  </si>
  <si>
    <t>Colorado SB 24-205; Texas TRAIGA; New York AEDT</t>
  </si>
  <si>
    <t>Enterprise-Wide</t>
  </si>
  <si>
    <t>Explainability documentation; adverse action notice templates; model cards</t>
  </si>
  <si>
    <t>Explainability-by-design standard; plain-language decision summaries; appeal portal</t>
  </si>
  <si>
    <t>Chief AI Officer</t>
  </si>
  <si>
    <t>RR-006</t>
  </si>
  <si>
    <t>Undisclosed AI use in consumer interactions</t>
  </si>
  <si>
    <t>Organization fails to disclose when AI (not a human) is making or substantially influencing a consequential decision.</t>
  </si>
  <si>
    <t>Colorado SB 24-205; Texas TRAIGA; California SB 942</t>
  </si>
  <si>
    <t>Customer Operations</t>
  </si>
  <si>
    <t>Disclosure policy; legal review of AI touchpoints; consumer-facing notices</t>
  </si>
  <si>
    <t>AI interaction disclosure checklist; mandatory disclosure for all consequential AI outputs</t>
  </si>
  <si>
    <t>Chief Legal Officer</t>
  </si>
  <si>
    <t>RR-007</t>
  </si>
  <si>
    <t>Synthetic content without provenance disclosure</t>
  </si>
  <si>
    <t>AI-generated images, audio, or text distributed without required disclosure or watermarking.</t>
  </si>
  <si>
    <t>Marketing; Communications</t>
  </si>
  <si>
    <t>Content review policy; legal approval for AI-generated assets</t>
  </si>
  <si>
    <t>Weak</t>
  </si>
  <si>
    <t>Automated watermarking pipeline; provenance metadata tagging; staff training</t>
  </si>
  <si>
    <t>RR-008</t>
  </si>
  <si>
    <t>Misclassification of AI system risk level</t>
  </si>
  <si>
    <t>An AI system qualifying as high-risk under applicable law is incorrectly classified as lower risk, resulting in non-compliance with mandatory assessment, disclosure, and oversight requirements.</t>
  </si>
  <si>
    <t>AI inventory; risk classification checklist; legal review</t>
  </si>
  <si>
    <t>Formal AI risk classification framework; mandatory legal sign-off; quarterly inventory review</t>
  </si>
  <si>
    <t>RR-009</t>
  </si>
  <si>
    <t>Unreviewed deployment of consequential AI</t>
  </si>
  <si>
    <t>High-risk AI systems deployed in production without completing required impact assessments or regulatory filings.</t>
  </si>
  <si>
    <t>Colorado SB 24-205; Texas TRAIGA; Illinois HB 3773</t>
  </si>
  <si>
    <t>Technology; Operations</t>
  </si>
  <si>
    <t>Deployment approval gate; SDLC policy; compliance sign-off requirement</t>
  </si>
  <si>
    <t>Pre-deployment impact assessment gate; automated compliance checklist in CI/CD pipeline</t>
  </si>
  <si>
    <t>Chief Technology Officer</t>
  </si>
  <si>
    <t>RR-010</t>
  </si>
  <si>
    <t>Scope creep into high-risk use cases</t>
  </si>
  <si>
    <t>AI system originally deployed for low-risk use case subsequently repurposed or extended into a high-risk domain without re-assessment.</t>
  </si>
  <si>
    <t>Change management policy; AI use case registry</t>
  </si>
  <si>
    <t>Use-case change review trigger; re-assessment requirement on scope changes; registry monitoring</t>
  </si>
  <si>
    <t>RR-011</t>
  </si>
  <si>
    <t>Inadequate training data documentation</t>
  </si>
  <si>
    <t>Generative AI system deployed without required disclosures about training data sources, synthetic data proportion, or personal data use.</t>
  </si>
  <si>
    <t>Technology; Data</t>
  </si>
  <si>
    <t>Data lineage tracking; data inventory documentation</t>
  </si>
  <si>
    <t>Training data disclosure template; automated lineage capture; AB 2013 compliance checklist</t>
  </si>
  <si>
    <t>Chief Data Officer</t>
  </si>
  <si>
    <t>RR-012</t>
  </si>
  <si>
    <t>Use of unlicensed or improperly sourced training data</t>
  </si>
  <si>
    <t>AI trained on datasets containing copyrighted, personal, or otherwise restricted data without proper authorization.</t>
  </si>
  <si>
    <t>California AB 2013; Colorado SB 24-205</t>
  </si>
  <si>
    <t>Technology; Legal</t>
  </si>
  <si>
    <t>Data licensing review; procurement legal approval</t>
  </si>
  <si>
    <t>Data provenance registry; license validation workflow; prohibited data source blocklist</t>
  </si>
  <si>
    <t>RR-013</t>
  </si>
  <si>
    <t>Data quality and representativeness failures</t>
  </si>
  <si>
    <t>Training or fine-tuning data is outdated, incomplete, or unrepresentative of deployment population, leading to systematic errors.</t>
  </si>
  <si>
    <t>Data quality checks; representativeness analysis at model development</t>
  </si>
  <si>
    <t>Ongoing data drift monitoring; representativeness testing pre-deployment; quality scorecard</t>
  </si>
  <si>
    <t>RR-014</t>
  </si>
  <si>
    <t>Unauthorized data retention or repurposing</t>
  </si>
  <si>
    <t>Personal data collected for AI training or inference retained beyond authorized period or used for secondary purposes without consent.</t>
  </si>
  <si>
    <t>Colorado SB 24-205; California AB 2013</t>
  </si>
  <si>
    <t>Data; Privacy</t>
  </si>
  <si>
    <t>Retention schedule; data classification policy; consent management platform</t>
  </si>
  <si>
    <t>Automated retention enforcement; secondary use consent workflow; data lifecycle audits</t>
  </si>
  <si>
    <t>Chief Privacy Officer</t>
  </si>
  <si>
    <t>RR-015</t>
  </si>
  <si>
    <t>Personal data ingested into AI without consent</t>
  </si>
  <si>
    <t>User personal data (PII/PHI) flows into AI model training or inference pipelines without appropriate disclosure or consent.</t>
  </si>
  <si>
    <t>Colorado SB 24-205; California AB 2013; California SB 1120</t>
  </si>
  <si>
    <t>Privacy; Technology</t>
  </si>
  <si>
    <t>Privacy impact assessment; consent gate in data pipelines; DPA review</t>
  </si>
  <si>
    <t>Privacy-by-design AI pipeline standard; PII scanning before training ingestion</t>
  </si>
  <si>
    <t>RR-016</t>
  </si>
  <si>
    <t>AI-enabled re-identification of anonymized data</t>
  </si>
  <si>
    <t>AI model or its outputs enable re-identification of individuals from purportedly anonymized datasets.</t>
  </si>
  <si>
    <t>Privacy; Data</t>
  </si>
  <si>
    <t>Anonymization standards; output filtering; k-anonymity testing</t>
  </si>
  <si>
    <t>Re-identification risk assessment; differential privacy controls; red-team testing</t>
  </si>
  <si>
    <t>RR-017</t>
  </si>
  <si>
    <t>Cross-border data transfer through AI vendor</t>
  </si>
  <si>
    <t>Third-party AI vendor processes personal data in jurisdictions with inadequate protections, creating privacy and regulatory exposure.</t>
  </si>
  <si>
    <t>Vendor Management; Privacy</t>
  </si>
  <si>
    <t>Vendor DPA; data processing agreements; jurisdiction review</t>
  </si>
  <si>
    <t>Cross-border transfer impact assessment; SCCs or equivalent; vendor jurisdiction registry</t>
  </si>
  <si>
    <t>RR-018</t>
  </si>
  <si>
    <t>Adversarial attacks on AI models</t>
  </si>
  <si>
    <t>Malicious inputs (prompt injection, adversarial examples) manipulate AI outputs to produce incorrect, harmful, or unauthorized results.</t>
  </si>
  <si>
    <t>Information Security</t>
  </si>
  <si>
    <t>Input validation; output filtering; adversarial testing in dev</t>
  </si>
  <si>
    <t>Red-team adversarial testing program; prompt injection guardrails; anomaly detection</t>
  </si>
  <si>
    <t>Chief Information Security Officer</t>
  </si>
  <si>
    <t>RR-019</t>
  </si>
  <si>
    <t>Model theft or intellectual property exfiltration</t>
  </si>
  <si>
    <t>Adversary extracts proprietary model weights, architecture, or training data through repeated querying or insider threat.</t>
  </si>
  <si>
    <t>None specific (general IP protection)</t>
  </si>
  <si>
    <t>API rate limiting; access controls; DLP monitoring</t>
  </si>
  <si>
    <t>Model watermarking; query anomaly detection; insider threat monitoring</t>
  </si>
  <si>
    <t>RR-020</t>
  </si>
  <si>
    <t>AI supply chain compromise</t>
  </si>
  <si>
    <t>Malicious code or backdoors introduced through compromised pre-trained model, open-source library, or third-party AI component.</t>
  </si>
  <si>
    <t>Information Security; Technology</t>
  </si>
  <si>
    <t>Software composition analysis; model provenance verification; code review</t>
  </si>
  <si>
    <t>ML-BOM (ML Bill of Materials); model integrity verification; trusted model registry</t>
  </si>
  <si>
    <t>RR-021</t>
  </si>
  <si>
    <t>AI hallucination in high-stakes outputs</t>
  </si>
  <si>
    <t>Large language model produces factually incorrect, fabricated, or confidently wrong outputs in medical, legal, financial, or safety-critical contexts.</t>
  </si>
  <si>
    <t>California SB 1120; Texas TRAIGA; Colorado SB 24-205</t>
  </si>
  <si>
    <t>Output review workflow; human-in-the-loop for critical outputs; factuality testing</t>
  </si>
  <si>
    <t>Retrieval-augmented generation controls; mandatory human review in high-stakes domains; hallucination benchmarking</t>
  </si>
  <si>
    <t>RR-022</t>
  </si>
  <si>
    <t>Model performance degradation (drift)</t>
  </si>
  <si>
    <t>AI model accuracy deteriorates over time as real-world data distribution shifts away from training data, without detection.</t>
  </si>
  <si>
    <t>Periodic model evaluation; performance dashboards; retraining schedule</t>
  </si>
  <si>
    <t>Automated drift detection pipeline; performance SLAs with alert thresholds; retraining triggers</t>
  </si>
  <si>
    <t>RR-023</t>
  </si>
  <si>
    <t>AI system availability failure</t>
  </si>
  <si>
    <t>Critical AI system experiences unplanned downtime or availability degradation affecting dependent business processes.</t>
  </si>
  <si>
    <t>Business continuity plan; redundancy architecture; SLA monitoring</t>
  </si>
  <si>
    <t>Fallback manual process documentation; availability SLAs with vendor; chaos engineering tests</t>
  </si>
  <si>
    <t>RR-024</t>
  </si>
  <si>
    <t>Removal of human review in consequential decisions</t>
  </si>
  <si>
    <t>Organization over-automates decisions (employment, coverage denial, credit) eliminating required human-in-the-loop review mandated by law.</t>
  </si>
  <si>
    <t>California SB 1120; Colorado SB 24-205; Texas TRAIGA; New York AEDT</t>
  </si>
  <si>
    <t>Operations; Compliance</t>
  </si>
  <si>
    <t>Human review requirement policy; escalation workflows; compliance sign-off</t>
  </si>
  <si>
    <t>Human-in-the-loop mandate for all consequential decisions; automated compliance gate; review audit trail</t>
  </si>
  <si>
    <t>RR-025</t>
  </si>
  <si>
    <t>Inadequate override mechanism for AI decisions</t>
  </si>
  <si>
    <t>End users or affected individuals lack an accessible, effective process to challenge, appeal, or override AI-generated decisions.</t>
  </si>
  <si>
    <t>Customer Operations; Legal</t>
  </si>
  <si>
    <t>Appeal process documentation; customer service escalation path</t>
  </si>
  <si>
    <t>Formal AI appeal portal; SLA for appeal resolution; mandatory override capability by design</t>
  </si>
  <si>
    <t>RR-026</t>
  </si>
  <si>
    <t>Operator overreliance on AI recommendations</t>
  </si>
  <si>
    <t>Employees with nominal oversight authority routinely rubber-stamp AI recommendations without genuine review, undermining human oversight safeguards.</t>
  </si>
  <si>
    <t>Colorado SB 24-205; California SB 1120</t>
  </si>
  <si>
    <t>Operations; HR</t>
  </si>
  <si>
    <t>Operator training; review documentation requirements; spot-check audits</t>
  </si>
  <si>
    <t>Operator challenge rate monitoring; friction-by-design in UI; regular override behavior audits</t>
  </si>
  <si>
    <t>RR-027</t>
  </si>
  <si>
    <t>Automated decision-making in high-stakes social contexts</t>
  </si>
  <si>
    <t>AI used in criminal justice, child welfare, benefits eligibility, or similar domains amplifies systemic inequities without sufficient ethical review.</t>
  </si>
  <si>
    <t>Social Services; Public Sector</t>
  </si>
  <si>
    <t>Ethics review board; impact assessment; stakeholder consultation</t>
  </si>
  <si>
    <t>Mandatory ethics review for high-stakes social AI; community impact assessment; independent oversight</t>
  </si>
  <si>
    <t>Chief Ethics Officer</t>
  </si>
  <si>
    <t>RR-028</t>
  </si>
  <si>
    <t>Psychological manipulation via AI personalization</t>
  </si>
  <si>
    <t>AI recommendation or engagement systems exploit psychological vulnerabilities, nudging users toward harmful decisions or excessive consumption.</t>
  </si>
  <si>
    <t>Marketing; Product</t>
  </si>
  <si>
    <t>Dark pattern review; UX ethics policy; product ethics review</t>
  </si>
  <si>
    <t>Ethical design framework; nudge audit; independent ethics board review of personalization algorithms</t>
  </si>
  <si>
    <t>RR-029</t>
  </si>
  <si>
    <t>Environmental impact of large-scale AI deployment</t>
  </si>
  <si>
    <t>Significant compute and energy consumption from AI training and inference contributes to carbon footprint without mitigation planning.</t>
  </si>
  <si>
    <t>None specific</t>
  </si>
  <si>
    <t>Operations; Sustainability</t>
  </si>
  <si>
    <t>Carbon reporting; sustainability policy</t>
  </si>
  <si>
    <t>AI compute carbon accounting; green compute procurement; efficiency optimization targets</t>
  </si>
  <si>
    <t>Chief Sustainability Officer</t>
  </si>
  <si>
    <t>RR-030</t>
  </si>
  <si>
    <t>Non-consensual deepfake generation</t>
  </si>
  <si>
    <t>AI used to create realistic synthetic images, audio, or video depicting real individuals without consent, creating reputational, legal, and regulatory harm.</t>
  </si>
  <si>
    <t>Legal; Communications</t>
  </si>
  <si>
    <t>Acceptable use policy; content moderation; legal review of AI-generated content</t>
  </si>
  <si>
    <t>Deepfake detection tooling; consent verification workflow; takedown process; staff training</t>
  </si>
  <si>
    <t>RR-031</t>
  </si>
  <si>
    <t>AI-generated disinformation or fraud</t>
  </si>
  <si>
    <t>Synthetic content (text, voice, image) used externally to impersonate executives, employees, or the organization for fraud or reputational attack.</t>
  </si>
  <si>
    <t>Information Security; Communications</t>
  </si>
  <si>
    <t>Brand monitoring; executive impersonation alerts; fraud detection</t>
  </si>
  <si>
    <t>Executive voice/face authentication; synthetic media monitoring service; incident response plan</t>
  </si>
  <si>
    <t>RR-032</t>
  </si>
  <si>
    <t>Absence of synthetic content detection controls</t>
  </si>
  <si>
    <t>Organization lacks tooling to detect AI-generated content entering internal workflows (e.g., fake resumes, fabricated documents, manipulated images).</t>
  </si>
  <si>
    <t>California SB 942; California AB 2013</t>
  </si>
  <si>
    <t>Information Security; HR</t>
  </si>
  <si>
    <t>Manual document review; HR screening protocols</t>
  </si>
  <si>
    <t>AI content detection tools in document workflows; synthetic media scanner for recruitment; staff training</t>
  </si>
  <si>
    <t>RR-033</t>
  </si>
  <si>
    <t>Third-party AI vendor non-compliance</t>
  </si>
  <si>
    <t>AI vendor fails to comply with applicable state AI laws (CO SB 24-205, TX TRAIGA) on the organization's behalf, creating derivative liability.</t>
  </si>
  <si>
    <t>Vendor Management; Legal</t>
  </si>
  <si>
    <t>Vendor compliance attestations; contract compliance clauses; vendor questionnaire</t>
  </si>
  <si>
    <t>Vendor AI compliance audit program; contractual liability allocation; real-time compliance monitoring</t>
  </si>
  <si>
    <t>Chief Procurement Officer</t>
  </si>
  <si>
    <t>RR-034</t>
  </si>
  <si>
    <t>Inadequate vendor due diligence at procurement</t>
  </si>
  <si>
    <t>Organization procures AI tools without conducting required technical, bias, privacy, or security assessments.</t>
  </si>
  <si>
    <t>Procurement; Legal</t>
  </si>
  <si>
    <t>AI procurement checklist; legal review of AI vendors; security assessment</t>
  </si>
  <si>
    <t>Mandatory AI vendor due diligence framework; bias assessment requirement; pre-procurement impact review</t>
  </si>
  <si>
    <t>RR-035</t>
  </si>
  <si>
    <t>Vendor lock-in and model opacity</t>
  </si>
  <si>
    <t>Organization becomes dependent on a closed, proprietary AI system with no transparency into model updates, training changes, or bias characteristics.</t>
  </si>
  <si>
    <t>Technology; Procurement</t>
  </si>
  <si>
    <t>Vendor transparency requirements in contracts; exit planning</t>
  </si>
  <si>
    <t>Model transparency contractual requirements; data portability clauses; multi-vendor strategy</t>
  </si>
  <si>
    <t>RR-036</t>
  </si>
  <si>
    <t>Contractual gaps in AI liability allocation</t>
  </si>
  <si>
    <t>Vendor contracts fail to clearly allocate responsibility for AI errors, bias incidents, regulatory violations, or data breaches.</t>
  </si>
  <si>
    <t>Legal; Procurement</t>
  </si>
  <si>
    <t>Contract legal review; standard AI liability clause library</t>
  </si>
  <si>
    <t>AI contract liability playbook; mandatory indemnification clauses; regulatory compliance representations</t>
  </si>
  <si>
    <t>RR-037</t>
  </si>
  <si>
    <t>Premature or uncontrolled model retirement</t>
  </si>
  <si>
    <t>AI model retired or replaced without adequate transition planning, causing service disruption, data loss, or compliance gaps.</t>
  </si>
  <si>
    <t>Change management policy; decommission checklist; stakeholder notification</t>
  </si>
  <si>
    <t>Formal model retirement process; transition plan requirement; compliance review at retirement</t>
  </si>
  <si>
    <t>RR-038</t>
  </si>
  <si>
    <t>Lack of AI model version control and audit trail</t>
  </si>
  <si>
    <t>No systematic versioning, change logging, or audit trail for model updates, making post-incident investigation and regulatory response impossible.</t>
  </si>
  <si>
    <t>Technology; Compliance</t>
  </si>
  <si>
    <t>Model versioning in some systems; change log policy</t>
  </si>
  <si>
    <t>Mandatory model registry with full version history; automated change logging; audit trail for regulatory response</t>
  </si>
  <si>
    <t>RR-039</t>
  </si>
  <si>
    <t>AI system decommissioning without data disposition</t>
  </si>
  <si>
    <t>AI system decommissioned without proper disposal of training data, model weights, inference logs, or personal data retained in system.</t>
  </si>
  <si>
    <t>Technology; Privacy; Data</t>
  </si>
  <si>
    <t>Decommission policy; data disposal checklist</t>
  </si>
  <si>
    <t>Data disposition plan requirement at decommission; certified data destruction; privacy sign-off</t>
  </si>
  <si>
    <t>RR-040</t>
  </si>
  <si>
    <t>Failure to conduct required AI impact assessments</t>
  </si>
  <si>
    <t>Organization subject to CO SB 24-205 or TX TRAIGA fails to complete and document required algorithmic impact assessments for deployed high-risk AI systems.</t>
  </si>
  <si>
    <t>Compliance; Enterprise-Wide</t>
  </si>
  <si>
    <t>Impact assessment template; compliance calendar; legal oversight</t>
  </si>
  <si>
    <t>Impact assessment program with mandatory completion; compliance tracking dashboard; legal attestation</t>
  </si>
  <si>
    <t>Chief Compliance Officer</t>
  </si>
  <si>
    <t>RR-041</t>
  </si>
  <si>
    <t>Non-compliance with employment AI audit requirements</t>
  </si>
  <si>
    <t>Automated employment decision tools not audited annually or audit results not publicly posted as required.</t>
  </si>
  <si>
    <t>Illinois HB 3773; New York AEDT</t>
  </si>
  <si>
    <t>HR; Compliance</t>
  </si>
  <si>
    <t>Annual audit process; legal review; public posting procedure</t>
  </si>
  <si>
    <t>Dedicated AEDT/HB 3773 audit program; audit results publication workflow; annual compliance calendar</t>
  </si>
  <si>
    <t>RR-042</t>
  </si>
  <si>
    <t>Missing or inadequate consumer disclosures</t>
  </si>
  <si>
    <t>Organization fails to provide required disclosures to consumers about AI use, model capabilities, training data, or synthetic content provenance.</t>
  </si>
  <si>
    <t>Colorado SB 24-205; Texas TRAIGA; California SB 942; California AB 2013</t>
  </si>
  <si>
    <t>Legal; Compliance; Marketing</t>
  </si>
  <si>
    <t>Disclosure templates; legal review of consumer communications; website notices</t>
  </si>
  <si>
    <t>Disclosure requirements matrix by law; mandatory legal review of AI-facing communications; disclosure audit</t>
  </si>
  <si>
    <t>RR-043</t>
  </si>
  <si>
    <t>Regulatory reporting failure or delayed breach notification</t>
  </si>
  <si>
    <t>Organization fails to file required regulatory reports, notify affected individuals, or respond to regulatory inquiries within required timeframes.</t>
  </si>
  <si>
    <t>Colorado SB 24-205; Texas TRAIGA; Illinois HB 3773; New York AEDT</t>
  </si>
  <si>
    <t>Compliance; Legal</t>
  </si>
  <si>
    <t>Incident response plan; regulatory reporting calendar; legal escalation process</t>
  </si>
  <si>
    <t>Regulatory notification SLA tracker; automated regulatory calendar; breach notification drill program</t>
  </si>
  <si>
    <t>RISK RATING LEGEND</t>
  </si>
  <si>
    <t>Score ≥ 16</t>
  </si>
  <si>
    <t>Score 10–15</t>
  </si>
  <si>
    <t>Score 5–9</t>
  </si>
  <si>
    <t>Score 1–4</t>
  </si>
  <si>
    <t>AI Regulatory Reference — Applicable State Laws</t>
  </si>
  <si>
    <t>Law Name</t>
  </si>
  <si>
    <t>Short Name</t>
  </si>
  <si>
    <t>Jurisdiction</t>
  </si>
  <si>
    <t>Effective Date</t>
  </si>
  <si>
    <t>Scope / Who It Applies To</t>
  </si>
  <si>
    <t>Key Requirements</t>
  </si>
  <si>
    <t>Penalty / Enforcement</t>
  </si>
  <si>
    <t>Colorado Artificial Intelligence Act (SB 24-205)</t>
  </si>
  <si>
    <t>Colorado, USA</t>
  </si>
  <si>
    <t>Developers and deployers of high-risk AI systems operating in or affecting Colorado consumers</t>
  </si>
  <si>
    <t>1. Use reasonable care to protect consumers from algorithmic discrimination
2. Conduct and document algorithmic impact assessments for high-risk AI
3. Provide transparency disclosures to consumers about AI use
4. Establish risk management programs for high-risk AI
5. Allow consumers to appeal adverse AI-driven decisions</t>
  </si>
  <si>
    <t>Colorado Attorney General enforcement; civil penalties; private right of action under consumer protection law</t>
  </si>
  <si>
    <t>Active</t>
  </si>
  <si>
    <t>Texas Responsible AI Governance Act (TRAIGA)</t>
  </si>
  <si>
    <t>Texas, USA</t>
  </si>
  <si>
    <t>Developers and deployers of high-risk AI systems with nexus to Texas consumers or operations</t>
  </si>
  <si>
    <t>1. Conduct risk assessments and impact evaluations before deployment of high-risk AI
2. Perform bias testing across protected classes
3. Notify consumers when adverse decisions are made by AI
4. Maintain documentation and audit trails for high-risk AI systems
5. Establish governance programs and assign AI accountability roles</t>
  </si>
  <si>
    <t>Texas Attorney General enforcement; administrative penalties; injunctive relief</t>
  </si>
  <si>
    <t>Illinois Artificial Intelligence Video Interview Act / HB 3773</t>
  </si>
  <si>
    <t>Illinois, USA</t>
  </si>
  <si>
    <t>Employers using AI in employment decisions including hiring, promotion, and performance evaluation</t>
  </si>
  <si>
    <t>1. Conduct annual bias audits of AI employment decision tools
2. Disclose to employees and applicants when AI is used in employment decisions
3. Publicly post annual bias audit results
4. Obtain consent before using AI to analyze video interviews
5. Retain bias audit records for regulatory inspection</t>
  </si>
  <si>
    <t>Illinois Department of Labor enforcement; civil penalties per violation; injunctive relief</t>
  </si>
  <si>
    <t>California AI Transparency Act (SB 942)</t>
  </si>
  <si>
    <t>California, USA</t>
  </si>
  <si>
    <t>Developers of AI systems capable of generating synthetic content (text, audio, image, video) with over 1 million monthly users</t>
  </si>
  <si>
    <t>1. Include provenance disclosures in AI-generated synthetic content
2. Implement detection mechanisms (e.g., watermarking, metadata tagging)
3. Provide users with a tool to detect AI-generated content
4. Maintain transparency about AI content generation capabilities
5. Disclose AI use in consumer-facing interactions involving synthetic content</t>
  </si>
  <si>
    <t>California Attorney General enforcement; civil penalties up to $5,000 per violation; injunctive relief</t>
  </si>
  <si>
    <t>California Generative AI Training Data Transparency Act (AB 2013)</t>
  </si>
  <si>
    <t>Developers of generative AI systems trained on datasets and made available to California users</t>
  </si>
  <si>
    <t>1. Disclose training data sources including datasets, data types, and collection methods
2. Report proportion of synthetic data used in training
3. Disclose personal data handling practices in training pipelines
4. Publish training data documentation in accessible format
5. Update disclosures when training data materially changes</t>
  </si>
  <si>
    <t>California Attorney General enforcement; civil penalties; consumer rights to accurate disclosures</t>
  </si>
  <si>
    <t>California SB 1120 — Health Plan AI Utilization Management</t>
  </si>
  <si>
    <t>Health plan insurers and utilization management entities using AI in coverage and prior authorization decisions in California</t>
  </si>
  <si>
    <t>1. Require human clinical oversight of all AI-driven coverage and prior authorization decisions
2. Prohibit denial of coverage solely based on AI outputs without human review
3. Ensure AI tools used in utilization management are clinically validated
4. Disclose use of AI in utilization management to regulators and affected individuals
5. Maintain audit trails of AI-assisted utilization decisions</t>
  </si>
  <si>
    <t>California Department of Managed Health Care enforcement; administrative penalties; corrective action plans</t>
  </si>
  <si>
    <t>New York City Automated Employment Decision Tools Law (Local Law 144 / AEDT)</t>
  </si>
  <si>
    <t>New York City, USA</t>
  </si>
  <si>
    <t>Employers and employment agencies using automated employment decision tools to screen candidates or employees in New York City</t>
  </si>
  <si>
    <t>1. Conduct annual independent bias audits of automated employment decision tools
2. Publicly post bias audit results on company website
3. Notify job candidates and employees before using AEDT tools
4. Provide alternative selection process upon request
5. Retain audit documentation and candidate notification records</t>
  </si>
  <si>
    <t>NYC Department of Consumer and Worker Protection enforcement; civil penalties $500–$1,500 per violation per day</t>
  </si>
  <si>
    <t>Note: Effective dates shown are per enacted legislation. Organizations should consult legal counsel for compliance obligations specific to their operations and AI system classifications.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</si>
</sst>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7" x14ac:knownFonts="1">
    <font>
      <sz val="11"/>
      <color theme="1"/>
      <name val="Calibri"/>
      <family val="2"/>
      <scheme val="minor"/>
    </font>
    <font>
      <b/>
      <sz val="16"/>
      <color rgb="FFFFFFFF"/>
      <name val="Calibri"/>
    </font>
    <font>
      <b/>
      <sz val="11"/>
      <color rgb="FFFFFFFF"/>
      <name val="Calibri"/>
    </font>
    <font>
      <sz val="10"/>
      <name val="Calibri"/>
    </font>
    <font>
      <b/>
      <sz val="11"/>
      <name val="Calibri"/>
    </font>
    <font>
      <b/>
      <sz val="11"/>
      <color rgb="FF9C5700"/>
      <name val="Calibri"/>
    </font>
    <font>
      <b/>
      <sz val="11"/>
      <color rgb="FF006100"/>
      <name val="Calibri"/>
    </font>
    <font>
      <b/>
      <sz val="11"/>
      <color rgb="FFFFFFFF"/>
      <name val="Calibri"/>
    </font>
    <font>
      <b/>
      <sz val="15"/>
      <color rgb="FFFFFFFF"/>
      <name val="Calibri"/>
    </font>
    <font>
      <i/>
      <sz val="9"/>
      <color rgb="FF595959"/>
      <name val="Calibri"/>
    </font>
    <font>
      <b/>
      <sz val="18"/>
      <color rgb="FFFFFFFF"/>
      <name val="Calibri"/>
    </font>
    <font>
      <i/>
      <sz val="10"/>
      <color rgb="FF1F3864"/>
      <name val="Calibri"/>
    </font>
    <font>
      <b/>
      <sz val="12"/>
      <color rgb="FFFFFFFF"/>
      <name val="Calibri"/>
    </font>
    <font>
      <sz val="11"/>
      <color rgb="FFFFFFFF"/>
      <name val="Calibri"/>
    </font>
    <font>
      <sz val="11"/>
      <color rgb="FF9C5700"/>
      <name val="Calibri"/>
    </font>
    <font>
      <sz val="11"/>
      <color rgb="FF006100"/>
      <name val="Calibri"/>
    </font>
    <font>
      <sz val="11"/>
      <color rgb="FF333333"/>
      <name val="Calibri"/>
    </font>
  </fonts>
  <fills count="12">
    <fill>
      <patternFill patternType="none"/>
    </fill>
    <fill>
      <patternFill patternType="gray125"/>
    </fill>
    <fill>
      <patternFill patternType="solid">
        <fgColor rgb="FF1F3864"/>
        <bgColor rgb="FF1F3864"/>
      </patternFill>
    </fill>
    <fill>
      <patternFill patternType="solid">
        <fgColor rgb="FF2F5496"/>
        <bgColor rgb="FF2F5496"/>
      </patternFill>
    </fill>
    <fill>
      <patternFill patternType="solid">
        <fgColor rgb="FFF2F2F2"/>
        <bgColor rgb="FFF2F2F2"/>
      </patternFill>
    </fill>
    <fill>
      <patternFill patternType="solid">
        <fgColor rgb="FFFFFFFF"/>
        <bgColor rgb="FFFFFFFF"/>
      </patternFill>
    </fill>
    <fill>
      <patternFill patternType="solid">
        <fgColor rgb="FFFF0000"/>
        <bgColor rgb="FFFF0000"/>
      </patternFill>
    </fill>
    <fill>
      <patternFill patternType="solid">
        <fgColor rgb="FFFFEB9C"/>
        <bgColor rgb="FFFFEB9C"/>
      </patternFill>
    </fill>
    <fill>
      <patternFill patternType="solid">
        <fgColor rgb="FFFF7C00"/>
        <bgColor rgb="FFFF7C00"/>
      </patternFill>
    </fill>
    <fill>
      <patternFill patternType="solid">
        <fgColor rgb="FFC6EFCE"/>
        <bgColor rgb="FFC6EFCE"/>
      </patternFill>
    </fill>
    <fill>
      <patternFill patternType="solid">
        <fgColor rgb="FFD6E4F0"/>
        <bgColor rgb="FFD6E4F0"/>
      </patternFill>
    </fill>
    <fill>
      <patternFill patternType="solid">
        <fgColor rgb="FF4472C4"/>
        <bgColor rgb="FF4472C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s>
  <cellStyleXfs count="1">
    <xf numFmtId="0" fontId="0" fillId="0" borderId="0"/>
  </cellStyleXfs>
  <cellXfs count="86">
    <xf numFmtId="0" fontId="0" fillId="0" borderId="0" xfId="0"/>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4" fillId="4" borderId="6" xfId="0" applyFont="1" applyFill="1" applyBorder="1" applyAlignment="1">
      <alignment horizontal="center"/>
    </xf>
    <xf numFmtId="0" fontId="3" fillId="4" borderId="1" xfId="0" applyFont="1" applyFill="1" applyBorder="1" applyAlignment="1">
      <alignment wrapText="1"/>
    </xf>
    <xf numFmtId="0" fontId="3" fillId="4" borderId="1" xfId="0" applyFont="1" applyFill="1" applyBorder="1" applyAlignment="1">
      <alignment horizontal="center"/>
    </xf>
    <xf numFmtId="0" fontId="2" fillId="6" borderId="1" xfId="0" applyFont="1" applyFill="1" applyBorder="1" applyAlignment="1">
      <alignment horizontal="center"/>
    </xf>
    <xf numFmtId="0" fontId="5" fillId="7" borderId="1" xfId="0" applyFont="1" applyFill="1" applyBorder="1" applyAlignment="1">
      <alignment horizontal="center"/>
    </xf>
    <xf numFmtId="0" fontId="3" fillId="4" borderId="7" xfId="0" applyFont="1" applyFill="1" applyBorder="1" applyAlignment="1">
      <alignment wrapText="1"/>
    </xf>
    <xf numFmtId="0" fontId="4" fillId="5" borderId="6" xfId="0" applyFont="1" applyFill="1" applyBorder="1" applyAlignment="1">
      <alignment horizontal="center"/>
    </xf>
    <xf numFmtId="0" fontId="3" fillId="5" borderId="1" xfId="0" applyFont="1" applyFill="1" applyBorder="1" applyAlignment="1">
      <alignment wrapText="1"/>
    </xf>
    <xf numFmtId="0" fontId="3" fillId="5" borderId="1" xfId="0" applyFont="1" applyFill="1" applyBorder="1" applyAlignment="1">
      <alignment horizontal="center"/>
    </xf>
    <xf numFmtId="0" fontId="2" fillId="8" borderId="1" xfId="0" applyFont="1" applyFill="1" applyBorder="1" applyAlignment="1">
      <alignment horizontal="center"/>
    </xf>
    <xf numFmtId="0" fontId="3" fillId="5" borderId="7" xfId="0" applyFont="1" applyFill="1" applyBorder="1" applyAlignment="1">
      <alignment wrapText="1"/>
    </xf>
    <xf numFmtId="0" fontId="6" fillId="9" borderId="1" xfId="0" applyFont="1" applyFill="1" applyBorder="1" applyAlignment="1">
      <alignment horizontal="center"/>
    </xf>
    <xf numFmtId="0" fontId="4" fillId="4" borderId="8" xfId="0" applyFont="1" applyFill="1" applyBorder="1" applyAlignment="1">
      <alignment horizontal="center"/>
    </xf>
    <xf numFmtId="0" fontId="3" fillId="4" borderId="2" xfId="0" applyFont="1" applyFill="1" applyBorder="1" applyAlignment="1">
      <alignment wrapText="1"/>
    </xf>
    <xf numFmtId="0" fontId="3" fillId="4" borderId="2" xfId="0" applyFont="1" applyFill="1" applyBorder="1" applyAlignment="1">
      <alignment horizontal="center"/>
    </xf>
    <xf numFmtId="0" fontId="2" fillId="8" borderId="2" xfId="0" applyFont="1" applyFill="1" applyBorder="1" applyAlignment="1">
      <alignment horizontal="center"/>
    </xf>
    <xf numFmtId="0" fontId="6" fillId="9" borderId="2" xfId="0" applyFont="1" applyFill="1" applyBorder="1" applyAlignment="1">
      <alignment horizontal="center"/>
    </xf>
    <xf numFmtId="0" fontId="3" fillId="4" borderId="9" xfId="0" applyFont="1" applyFill="1" applyBorder="1" applyAlignment="1">
      <alignment wrapText="1"/>
    </xf>
    <xf numFmtId="0" fontId="3" fillId="4" borderId="6" xfId="0" applyFont="1" applyFill="1" applyBorder="1" applyAlignment="1">
      <alignment wrapText="1"/>
    </xf>
    <xf numFmtId="164" fontId="3" fillId="4" borderId="1" xfId="0" applyNumberFormat="1" applyFont="1" applyFill="1" applyBorder="1" applyAlignment="1">
      <alignment horizontal="center"/>
    </xf>
    <xf numFmtId="0" fontId="6" fillId="9" borderId="7" xfId="0" applyFont="1" applyFill="1" applyBorder="1" applyAlignment="1">
      <alignment horizontal="center"/>
    </xf>
    <xf numFmtId="0" fontId="3" fillId="5" borderId="6" xfId="0" applyFont="1" applyFill="1" applyBorder="1" applyAlignment="1">
      <alignment wrapText="1"/>
    </xf>
    <xf numFmtId="164" fontId="3" fillId="5" borderId="1" xfId="0" applyNumberFormat="1" applyFont="1" applyFill="1" applyBorder="1" applyAlignment="1">
      <alignment horizontal="center"/>
    </xf>
    <xf numFmtId="0" fontId="3" fillId="4" borderId="8" xfId="0" applyFont="1" applyFill="1" applyBorder="1" applyAlignment="1">
      <alignment wrapText="1"/>
    </xf>
    <xf numFmtId="164" fontId="3" fillId="4" borderId="2" xfId="0" applyNumberFormat="1" applyFont="1" applyFill="1" applyBorder="1" applyAlignment="1">
      <alignment horizontal="center"/>
    </xf>
    <xf numFmtId="0" fontId="6" fillId="9" borderId="9" xfId="0" applyFont="1" applyFill="1" applyBorder="1" applyAlignment="1">
      <alignment horizontal="center"/>
    </xf>
    <xf numFmtId="0" fontId="2" fillId="11" borderId="6" xfId="0" applyFont="1" applyFill="1" applyBorder="1" applyAlignment="1">
      <alignment horizontal="center" wrapText="1"/>
    </xf>
    <xf numFmtId="0" fontId="2" fillId="11" borderId="1" xfId="0" applyFont="1" applyFill="1" applyBorder="1" applyAlignment="1">
      <alignment horizontal="center" wrapText="1"/>
    </xf>
    <xf numFmtId="0" fontId="2" fillId="11" borderId="7" xfId="0" applyFont="1" applyFill="1" applyBorder="1" applyAlignment="1">
      <alignment horizontal="center" wrapText="1"/>
    </xf>
    <xf numFmtId="0" fontId="2" fillId="11" borderId="6" xfId="0" applyFont="1" applyFill="1" applyBorder="1" applyAlignment="1">
      <alignment horizontal="center"/>
    </xf>
    <xf numFmtId="0" fontId="2" fillId="11" borderId="1" xfId="0" applyFont="1" applyFill="1" applyBorder="1" applyAlignment="1">
      <alignment horizontal="center"/>
    </xf>
    <xf numFmtId="0" fontId="2" fillId="11" borderId="7" xfId="0" applyFont="1" applyFill="1" applyBorder="1" applyAlignment="1">
      <alignment horizontal="center"/>
    </xf>
    <xf numFmtId="0" fontId="2" fillId="6" borderId="6" xfId="0" applyFont="1" applyFill="1" applyBorder="1" applyAlignment="1">
      <alignment horizontal="center"/>
    </xf>
    <xf numFmtId="0" fontId="13" fillId="6" borderId="1" xfId="0" applyFont="1" applyFill="1" applyBorder="1" applyAlignment="1">
      <alignment horizontal="center"/>
    </xf>
    <xf numFmtId="9" fontId="13" fillId="6" borderId="1" xfId="0" applyNumberFormat="1" applyFont="1" applyFill="1" applyBorder="1" applyAlignment="1">
      <alignment horizontal="center"/>
    </xf>
    <xf numFmtId="0" fontId="13" fillId="6" borderId="7" xfId="0" applyFont="1" applyFill="1" applyBorder="1" applyAlignment="1">
      <alignment horizontal="center"/>
    </xf>
    <xf numFmtId="0" fontId="16" fillId="4" borderId="6" xfId="0" applyFont="1" applyFill="1" applyBorder="1" applyAlignment="1">
      <alignment horizontal="center"/>
    </xf>
    <xf numFmtId="0" fontId="16" fillId="4" borderId="1" xfId="0" applyFont="1" applyFill="1" applyBorder="1" applyAlignment="1">
      <alignment horizontal="center"/>
    </xf>
    <xf numFmtId="9" fontId="16" fillId="4" borderId="7" xfId="0" applyNumberFormat="1" applyFont="1" applyFill="1" applyBorder="1" applyAlignment="1">
      <alignment horizontal="center"/>
    </xf>
    <xf numFmtId="0" fontId="2" fillId="8" borderId="6" xfId="0" applyFont="1" applyFill="1" applyBorder="1" applyAlignment="1">
      <alignment horizontal="center"/>
    </xf>
    <xf numFmtId="0" fontId="13" fillId="8" borderId="1" xfId="0" applyFont="1" applyFill="1" applyBorder="1" applyAlignment="1">
      <alignment horizontal="center"/>
    </xf>
    <xf numFmtId="9" fontId="13" fillId="8" borderId="1" xfId="0" applyNumberFormat="1" applyFont="1" applyFill="1" applyBorder="1" applyAlignment="1">
      <alignment horizontal="center"/>
    </xf>
    <xf numFmtId="0" fontId="13" fillId="8" borderId="7" xfId="0" applyFont="1" applyFill="1" applyBorder="1" applyAlignment="1">
      <alignment horizontal="center"/>
    </xf>
    <xf numFmtId="0" fontId="14" fillId="7" borderId="6" xfId="0" applyFont="1" applyFill="1" applyBorder="1" applyAlignment="1">
      <alignment horizontal="center"/>
    </xf>
    <xf numFmtId="0" fontId="14" fillId="7" borderId="1" xfId="0" applyFont="1" applyFill="1" applyBorder="1" applyAlignment="1">
      <alignment horizontal="center"/>
    </xf>
    <xf numFmtId="9" fontId="14" fillId="7" borderId="7" xfId="0" applyNumberFormat="1" applyFont="1" applyFill="1" applyBorder="1" applyAlignment="1">
      <alignment horizontal="center"/>
    </xf>
    <xf numFmtId="0" fontId="5" fillId="7" borderId="6" xfId="0" applyFont="1" applyFill="1" applyBorder="1" applyAlignment="1">
      <alignment horizontal="center"/>
    </xf>
    <xf numFmtId="9" fontId="14" fillId="7" borderId="1" xfId="0" applyNumberFormat="1" applyFont="1" applyFill="1" applyBorder="1" applyAlignment="1">
      <alignment horizontal="center"/>
    </xf>
    <xf numFmtId="0" fontId="14" fillId="7" borderId="7" xfId="0" applyFont="1" applyFill="1" applyBorder="1" applyAlignment="1">
      <alignment horizontal="center"/>
    </xf>
    <xf numFmtId="0" fontId="15" fillId="9" borderId="6" xfId="0" applyFont="1" applyFill="1" applyBorder="1" applyAlignment="1">
      <alignment horizontal="center"/>
    </xf>
    <xf numFmtId="0" fontId="15" fillId="9" borderId="1" xfId="0" applyFont="1" applyFill="1" applyBorder="1" applyAlignment="1">
      <alignment horizontal="center"/>
    </xf>
    <xf numFmtId="9" fontId="15" fillId="9" borderId="7" xfId="0" applyNumberFormat="1" applyFont="1" applyFill="1" applyBorder="1" applyAlignment="1">
      <alignment horizontal="center"/>
    </xf>
    <xf numFmtId="0" fontId="6" fillId="9" borderId="6" xfId="0" applyFont="1" applyFill="1" applyBorder="1" applyAlignment="1">
      <alignment horizontal="center"/>
    </xf>
    <xf numFmtId="9" fontId="15" fillId="9" borderId="1" xfId="0" applyNumberFormat="1" applyFont="1" applyFill="1" applyBorder="1" applyAlignment="1">
      <alignment horizontal="center"/>
    </xf>
    <xf numFmtId="0" fontId="15" fillId="9" borderId="7" xfId="0" applyFont="1" applyFill="1" applyBorder="1" applyAlignment="1">
      <alignment horizontal="center"/>
    </xf>
    <xf numFmtId="0" fontId="2" fillId="2" borderId="8" xfId="0" applyFont="1" applyFill="1" applyBorder="1" applyAlignment="1">
      <alignment horizontal="center"/>
    </xf>
    <xf numFmtId="0" fontId="2" fillId="2" borderId="2" xfId="0" applyFont="1" applyFill="1" applyBorder="1" applyAlignment="1">
      <alignment horizontal="center"/>
    </xf>
    <xf numFmtId="9" fontId="2" fillId="2" borderId="9" xfId="0" applyNumberFormat="1" applyFont="1" applyFill="1" applyBorder="1" applyAlignment="1">
      <alignment horizontal="center"/>
    </xf>
    <xf numFmtId="9" fontId="2" fillId="2" borderId="2" xfId="0" applyNumberFormat="1" applyFont="1" applyFill="1" applyBorder="1" applyAlignment="1">
      <alignment horizontal="center"/>
    </xf>
    <xf numFmtId="0" fontId="2" fillId="2" borderId="9" xfId="0" applyFont="1" applyFill="1" applyBorder="1" applyAlignment="1">
      <alignment horizontal="center"/>
    </xf>
    <xf numFmtId="0" fontId="3" fillId="4" borderId="7" xfId="0" applyFont="1" applyFill="1" applyBorder="1" applyAlignment="1">
      <alignment horizontal="center"/>
    </xf>
    <xf numFmtId="0" fontId="3" fillId="4" borderId="6" xfId="0" applyFont="1" applyFill="1" applyBorder="1"/>
    <xf numFmtId="0" fontId="3" fillId="5" borderId="7" xfId="0" applyFont="1" applyFill="1" applyBorder="1" applyAlignment="1">
      <alignment horizontal="center"/>
    </xf>
    <xf numFmtId="0" fontId="3" fillId="5" borderId="6" xfId="0" applyFont="1" applyFill="1" applyBorder="1"/>
    <xf numFmtId="0" fontId="0" fillId="0" borderId="9" xfId="0" applyBorder="1"/>
    <xf numFmtId="0" fontId="0" fillId="0" borderId="8" xfId="0" applyBorder="1"/>
    <xf numFmtId="0" fontId="0" fillId="0" borderId="2" xfId="0" applyBorder="1"/>
    <xf numFmtId="0" fontId="2" fillId="6" borderId="7" xfId="0" applyFont="1" applyFill="1" applyBorder="1" applyAlignment="1">
      <alignment horizontal="center"/>
    </xf>
    <xf numFmtId="0" fontId="2" fillId="8" borderId="7" xfId="0" applyFont="1" applyFill="1" applyBorder="1" applyAlignment="1">
      <alignment horizontal="center"/>
    </xf>
    <xf numFmtId="0" fontId="5" fillId="7" borderId="7" xfId="0" applyFont="1" applyFill="1" applyBorder="1" applyAlignment="1">
      <alignment horizontal="center"/>
    </xf>
    <xf numFmtId="0" fontId="9" fillId="0" borderId="8" xfId="0" applyFont="1" applyBorder="1"/>
    <xf numFmtId="0" fontId="0" fillId="0" borderId="9" xfId="0" applyBorder="1"/>
    <xf numFmtId="0" fontId="12" fillId="3" borderId="10" xfId="0" applyFont="1" applyFill="1" applyBorder="1" applyAlignment="1">
      <alignment horizontal="center"/>
    </xf>
    <xf numFmtId="0" fontId="0" fillId="0" borderId="11" xfId="0" applyBorder="1"/>
    <xf numFmtId="0" fontId="0" fillId="0" borderId="12" xfId="0" applyBorder="1"/>
    <xf numFmtId="0" fontId="0" fillId="0" borderId="0" xfId="0"/>
    <xf numFmtId="0" fontId="10" fillId="2" borderId="0" xfId="0" applyFont="1" applyFill="1" applyAlignment="1">
      <alignment horizontal="center"/>
    </xf>
    <xf numFmtId="0" fontId="11" fillId="10" borderId="0" xfId="0" applyFont="1" applyFill="1" applyAlignment="1">
      <alignment horizontal="center"/>
    </xf>
    <xf numFmtId="0" fontId="7" fillId="2" borderId="0" xfId="0" applyFont="1" applyFill="1" applyAlignment="1">
      <alignment horizontal="center"/>
    </xf>
    <xf numFmtId="0" fontId="1" fillId="2" borderId="0" xfId="0" applyFont="1" applyFill="1" applyAlignment="1">
      <alignment horizontal="center"/>
    </xf>
    <xf numFmtId="0" fontId="9" fillId="0" borderId="0" xfId="0" applyFont="1" applyAlignment="1">
      <alignment wrapText="1"/>
    </xf>
    <xf numFmtId="0" fontId="8" fillId="2"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0"/>
  <c:chart>
    <c:title>
      <c:tx>
        <c:rich>
          <a:bodyPr/>
          <a:lstStyle/>
          <a:p>
            <a:pPr>
              <a:defRPr/>
            </a:pPr>
            <a:r>
              <a:rPr lang="en-US" sz="1100" b="1"/>
              <a:t>Inherent Risk Distribution by Rating</a:t>
            </a:r>
          </a:p>
        </c:rich>
      </c:tx>
      <c:overlay val="0"/>
    </c:title>
    <c:autoTitleDeleted val="0"/>
    <c:plotArea>
      <c:layout/>
      <c:doughnutChart>
        <c:varyColors val="1"/>
        <c:ser>
          <c:idx val="0"/>
          <c:order val="0"/>
          <c:tx>
            <c:strRef>
              <c:f>Dashboard!$B$5</c:f>
              <c:strCache>
                <c:ptCount val="1"/>
                <c:pt idx="0">
                  <c:v>Inherent Count</c:v>
                </c:pt>
              </c:strCache>
            </c:strRef>
          </c:tx>
          <c:spPr>
            <a:ln>
              <a:prstDash val="solid"/>
            </a:ln>
          </c:spPr>
          <c:dLbls>
            <c:spPr>
              <a:noFill/>
              <a:ln>
                <a:noFill/>
              </a:ln>
              <a:effectLst/>
            </c:spPr>
            <c:showLegendKey val="1"/>
            <c:showVal val="0"/>
            <c:showCatName val="0"/>
            <c:showSerName val="0"/>
            <c:showPercent val="1"/>
            <c:showBubbleSize val="1"/>
            <c:showLeaderLines val="1"/>
            <c:extLst>
              <c:ext xmlns:c15="http://schemas.microsoft.com/office/drawing/2012/chart" uri="{CE6537A1-D6FC-4f65-9D91-7224C49458BB}"/>
            </c:extLst>
          </c:dLbls>
          <c:cat>
            <c:strRef>
              <c:f>Dashboard!$A$6:$A$9</c:f>
              <c:strCache>
                <c:ptCount val="4"/>
                <c:pt idx="0">
                  <c:v>Critical</c:v>
                </c:pt>
                <c:pt idx="1">
                  <c:v>High</c:v>
                </c:pt>
                <c:pt idx="2">
                  <c:v>Medium</c:v>
                </c:pt>
                <c:pt idx="3">
                  <c:v>Low</c:v>
                </c:pt>
              </c:strCache>
            </c:strRef>
          </c:cat>
          <c:val>
            <c:numRef>
              <c:f>Dashboard!$B$6:$B$9</c:f>
              <c:numCache>
                <c:formatCode>General</c:formatCode>
                <c:ptCount val="4"/>
                <c:pt idx="0">
                  <c:v>9</c:v>
                </c:pt>
                <c:pt idx="1">
                  <c:v>28</c:v>
                </c:pt>
                <c:pt idx="2">
                  <c:v>6</c:v>
                </c:pt>
                <c:pt idx="3">
                  <c:v>0</c:v>
                </c:pt>
              </c:numCache>
            </c:numRef>
          </c:val>
          <c:extLst>
            <c:ext xmlns:c16="http://schemas.microsoft.com/office/drawing/2014/chart" uri="{C3380CC4-5D6E-409C-BE32-E72D297353CC}">
              <c16:uniqueId val="{00000000-7702-41A2-BDFC-5CCFA247B388}"/>
            </c:ext>
          </c:extLst>
        </c:ser>
        <c:dLbls>
          <c:showLegendKey val="1"/>
          <c:showVal val="0"/>
          <c:showCatName val="0"/>
          <c:showSerName val="0"/>
          <c:showPercent val="1"/>
          <c:showBubbleSize val="1"/>
          <c:showLeaderLines val="1"/>
        </c:dLbls>
        <c:firstSliceAng val="0"/>
        <c:holeSize val="10"/>
      </c:doughnutChart>
    </c:plotArea>
    <c:legend>
      <c:legendPos val="r"/>
      <c:overlay val="0"/>
      <c:txPr>
        <a:bodyPr/>
        <a:lstStyle/>
        <a:p>
          <a:pPr>
            <a:defRPr sz="1000" b="0"/>
          </a:pPr>
          <a:endParaRPr lang="en-US"/>
        </a:p>
      </c:txPr>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0"/>
  <c:chart>
    <c:title>
      <c:tx>
        <c:rich>
          <a:bodyPr/>
          <a:lstStyle/>
          <a:p>
            <a:pPr>
              <a:defRPr/>
            </a:pPr>
            <a:r>
              <a:rPr lang="en-US" sz="1100" b="1"/>
              <a:t>Risk Count by Category</a:t>
            </a:r>
          </a:p>
        </c:rich>
      </c:tx>
      <c:overlay val="0"/>
    </c:title>
    <c:autoTitleDeleted val="0"/>
    <c:plotArea>
      <c:layout/>
      <c:barChart>
        <c:barDir val="bar"/>
        <c:grouping val="clustered"/>
        <c:varyColors val="1"/>
        <c:ser>
          <c:idx val="0"/>
          <c:order val="0"/>
          <c:spPr>
            <a:solidFill>
              <a:srgbClr val="2F5496"/>
            </a:solidFill>
            <a:ln>
              <a:prstDash val="solid"/>
            </a:ln>
          </c:spPr>
          <c:invertIfNegative val="1"/>
          <c:dLbls>
            <c:spPr>
              <a:noFill/>
              <a:ln>
                <a:noFill/>
              </a:ln>
              <a:effectLst/>
            </c:spPr>
            <c:showLegendKey val="1"/>
            <c:showVal val="0"/>
            <c:showCatName val="0"/>
            <c:showSerName val="0"/>
            <c:showPercent val="1"/>
            <c:showBubbleSize val="1"/>
            <c:showLeaderLines val="0"/>
            <c:extLst>
              <c:ext xmlns:c15="http://schemas.microsoft.com/office/drawing/2012/chart" uri="{CE6537A1-D6FC-4f65-9D91-7224C49458BB}">
                <c15:showLeaderLines val="0"/>
              </c:ext>
            </c:extLst>
          </c:dLbls>
          <c:cat>
            <c:strRef>
              <c:f>Dashboard!$A$14:$A$25</c:f>
              <c:strCache>
                <c:ptCount val="12"/>
                <c:pt idx="0">
                  <c:v>Algorithmic Bias</c:v>
                </c:pt>
                <c:pt idx="1">
                  <c:v>Transparency &amp; Explainability</c:v>
                </c:pt>
                <c:pt idx="2">
                  <c:v>High-Risk AI Classification</c:v>
                </c:pt>
                <c:pt idx="3">
                  <c:v>Data Governance</c:v>
                </c:pt>
                <c:pt idx="4">
                  <c:v>Privacy</c:v>
                </c:pt>
                <c:pt idx="5">
                  <c:v>Security</c:v>
                </c:pt>
                <c:pt idx="6">
                  <c:v>Accuracy &amp; Reliability</c:v>
                </c:pt>
                <c:pt idx="7">
                  <c:v>Human Oversight</c:v>
                </c:pt>
                <c:pt idx="8">
                  <c:v>Ethical Impact</c:v>
                </c:pt>
                <c:pt idx="9">
                  <c:v>Synthetic Media</c:v>
                </c:pt>
                <c:pt idx="10">
                  <c:v>Vendor / Third-Party AI Risk</c:v>
                </c:pt>
                <c:pt idx="11">
                  <c:v>AI Lifecycle Risk</c:v>
                </c:pt>
              </c:strCache>
            </c:strRef>
          </c:cat>
          <c:val>
            <c:numRef>
              <c:f>Dashboard!$B$13:$B$25</c:f>
              <c:numCache>
                <c:formatCode>General</c:formatCode>
                <c:ptCount val="13"/>
                <c:pt idx="0">
                  <c:v>0</c:v>
                </c:pt>
                <c:pt idx="1">
                  <c:v>4</c:v>
                </c:pt>
                <c:pt idx="2">
                  <c:v>3</c:v>
                </c:pt>
                <c:pt idx="3">
                  <c:v>3</c:v>
                </c:pt>
                <c:pt idx="4">
                  <c:v>4</c:v>
                </c:pt>
                <c:pt idx="5">
                  <c:v>3</c:v>
                </c:pt>
                <c:pt idx="6">
                  <c:v>3</c:v>
                </c:pt>
                <c:pt idx="7">
                  <c:v>3</c:v>
                </c:pt>
                <c:pt idx="8">
                  <c:v>3</c:v>
                </c:pt>
                <c:pt idx="9">
                  <c:v>3</c:v>
                </c:pt>
                <c:pt idx="10">
                  <c:v>3</c:v>
                </c:pt>
                <c:pt idx="11">
                  <c:v>4</c:v>
                </c:pt>
                <c:pt idx="12">
                  <c:v>3</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9AAD-48D5-A67C-A0B8E13A8693}"/>
            </c:ext>
          </c:extLst>
        </c:ser>
        <c:dLbls>
          <c:showLegendKey val="1"/>
          <c:showVal val="0"/>
          <c:showCatName val="0"/>
          <c:showSerName val="0"/>
          <c:showPercent val="1"/>
          <c:showBubbleSize val="1"/>
        </c:dLbls>
        <c:gapWidth val="150"/>
        <c:axId val="10"/>
        <c:axId val="100"/>
      </c:barChart>
      <c:catAx>
        <c:axId val="10"/>
        <c:scaling>
          <c:orientation val="minMax"/>
        </c:scaling>
        <c:delete val="0"/>
        <c:axPos val="l"/>
        <c:title>
          <c:tx>
            <c:rich>
              <a:bodyPr/>
              <a:lstStyle/>
              <a:p>
                <a:pPr>
                  <a:defRPr/>
                </a:pPr>
                <a:r>
                  <a:rPr lang="en-US" sz="1000" b="1"/>
                  <a:t>Number of Risks</a:t>
                </a:r>
              </a:p>
            </c:rich>
          </c:tx>
          <c:overlay val="0"/>
        </c:title>
        <c:numFmt formatCode="General" sourceLinked="1"/>
        <c:majorTickMark val="none"/>
        <c:minorTickMark val="none"/>
        <c:tickLblPos val="nextTo"/>
        <c:txPr>
          <a:bodyPr/>
          <a:lstStyle/>
          <a:p>
            <a:pPr>
              <a:defRPr sz="1000" b="0"/>
            </a:pPr>
            <a:endParaRPr lang="en-US"/>
          </a:p>
        </c:txPr>
        <c:crossAx val="100"/>
        <c:crosses val="autoZero"/>
        <c:auto val="1"/>
        <c:lblAlgn val="ctr"/>
        <c:lblOffset val="100"/>
        <c:noMultiLvlLbl val="1"/>
      </c:catAx>
      <c:valAx>
        <c:axId val="100"/>
        <c:scaling>
          <c:orientation val="minMax"/>
        </c:scaling>
        <c:delete val="0"/>
        <c:axPos val="b"/>
        <c:majorGridlines/>
        <c:numFmt formatCode="General" sourceLinked="1"/>
        <c:majorTickMark val="none"/>
        <c:minorTickMark val="none"/>
        <c:tickLblPos val="nextTo"/>
        <c:txPr>
          <a:bodyPr/>
          <a:lstStyle/>
          <a:p>
            <a:pPr>
              <a:defRPr sz="1000" b="0"/>
            </a:pPr>
            <a:endParaRPr lang="en-US"/>
          </a:p>
        </c:txPr>
        <c:crossAx val="10"/>
        <c:crosses val="autoZero"/>
        <c:crossBetween val="between"/>
      </c:valAx>
    </c:plotArea>
    <c:legend>
      <c:legendPos val="r"/>
      <c:overlay val="0"/>
      <c:txPr>
        <a:bodyPr/>
        <a:lstStyle/>
        <a:p>
          <a:pPr>
            <a:defRPr sz="1000" b="0"/>
          </a:pPr>
          <a:endParaRPr lang="en-US"/>
        </a:p>
      </c:txPr>
    </c:legend>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10"/>
  <c:chart>
    <c:title>
      <c:tx>
        <c:rich>
          <a:bodyPr/>
          <a:lstStyle/>
          <a:p>
            <a:pPr>
              <a:defRPr/>
            </a:pPr>
            <a:r>
              <a:rPr lang="en-US" sz="1100" b="1"/>
              <a:t>Risks Mapped per Regulation</a:t>
            </a:r>
          </a:p>
        </c:rich>
      </c:tx>
      <c:overlay val="0"/>
    </c:title>
    <c:autoTitleDeleted val="0"/>
    <c:plotArea>
      <c:layout/>
      <c:barChart>
        <c:barDir val="bar"/>
        <c:grouping val="clustered"/>
        <c:varyColors val="1"/>
        <c:ser>
          <c:idx val="0"/>
          <c:order val="0"/>
          <c:spPr>
            <a:solidFill>
              <a:srgbClr val="1F3864"/>
            </a:solidFill>
            <a:ln>
              <a:prstDash val="solid"/>
            </a:ln>
          </c:spPr>
          <c:invertIfNegative val="1"/>
          <c:dLbls>
            <c:spPr>
              <a:noFill/>
              <a:ln>
                <a:noFill/>
              </a:ln>
              <a:effectLst/>
            </c:spPr>
            <c:showLegendKey val="1"/>
            <c:showVal val="0"/>
            <c:showCatName val="0"/>
            <c:showSerName val="0"/>
            <c:showPercent val="1"/>
            <c:showBubbleSize val="1"/>
            <c:showLeaderLines val="0"/>
            <c:extLst>
              <c:ext xmlns:c15="http://schemas.microsoft.com/office/drawing/2012/chart" uri="{CE6537A1-D6FC-4f65-9D91-7224C49458BB}">
                <c15:showLeaderLines val="0"/>
              </c:ext>
            </c:extLst>
          </c:dLbls>
          <c:cat>
            <c:strRef>
              <c:f>Dashboard!$G$14:$G$19</c:f>
              <c:strCache>
                <c:ptCount val="6"/>
                <c:pt idx="0">
                  <c:v>Colorado SB 24-205</c:v>
                </c:pt>
                <c:pt idx="1">
                  <c:v>Texas TRAIGA</c:v>
                </c:pt>
                <c:pt idx="2">
                  <c:v>Illinois HB 3773</c:v>
                </c:pt>
                <c:pt idx="3">
                  <c:v>California SB 942</c:v>
                </c:pt>
                <c:pt idx="4">
                  <c:v>California AB 2013</c:v>
                </c:pt>
                <c:pt idx="5">
                  <c:v>California SB 1120</c:v>
                </c:pt>
              </c:strCache>
            </c:strRef>
          </c:cat>
          <c:val>
            <c:numRef>
              <c:f>Dashboard!$H$13:$H$19</c:f>
              <c:numCache>
                <c:formatCode>General</c:formatCode>
                <c:ptCount val="7"/>
                <c:pt idx="0">
                  <c:v>0</c:v>
                </c:pt>
                <c:pt idx="1">
                  <c:v>31</c:v>
                </c:pt>
                <c:pt idx="2">
                  <c:v>24</c:v>
                </c:pt>
                <c:pt idx="3">
                  <c:v>6</c:v>
                </c:pt>
                <c:pt idx="4">
                  <c:v>6</c:v>
                </c:pt>
                <c:pt idx="5">
                  <c:v>9</c:v>
                </c:pt>
                <c:pt idx="6">
                  <c:v>6</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2B9C-49A5-9CE7-EB681A3283BE}"/>
            </c:ext>
          </c:extLst>
        </c:ser>
        <c:dLbls>
          <c:showLegendKey val="1"/>
          <c:showVal val="0"/>
          <c:showCatName val="0"/>
          <c:showSerName val="0"/>
          <c:showPercent val="1"/>
          <c:showBubbleSize val="1"/>
        </c:dLbls>
        <c:gapWidth val="150"/>
        <c:axId val="10"/>
        <c:axId val="100"/>
      </c:barChart>
      <c:catAx>
        <c:axId val="10"/>
        <c:scaling>
          <c:orientation val="minMax"/>
        </c:scaling>
        <c:delete val="0"/>
        <c:axPos val="l"/>
        <c:title>
          <c:tx>
            <c:rich>
              <a:bodyPr/>
              <a:lstStyle/>
              <a:p>
                <a:pPr>
                  <a:defRPr/>
                </a:pPr>
                <a:r>
                  <a:rPr lang="en-US" sz="1000" b="1"/>
                  <a:t>Number of Risks</a:t>
                </a:r>
              </a:p>
            </c:rich>
          </c:tx>
          <c:overlay val="0"/>
        </c:title>
        <c:numFmt formatCode="General" sourceLinked="1"/>
        <c:majorTickMark val="none"/>
        <c:minorTickMark val="none"/>
        <c:tickLblPos val="nextTo"/>
        <c:txPr>
          <a:bodyPr/>
          <a:lstStyle/>
          <a:p>
            <a:pPr>
              <a:defRPr sz="1000" b="0"/>
            </a:pPr>
            <a:endParaRPr lang="en-US"/>
          </a:p>
        </c:txPr>
        <c:crossAx val="100"/>
        <c:crosses val="autoZero"/>
        <c:auto val="1"/>
        <c:lblAlgn val="ctr"/>
        <c:lblOffset val="100"/>
        <c:noMultiLvlLbl val="1"/>
      </c:catAx>
      <c:valAx>
        <c:axId val="100"/>
        <c:scaling>
          <c:orientation val="minMax"/>
        </c:scaling>
        <c:delete val="0"/>
        <c:axPos val="b"/>
        <c:majorGridlines/>
        <c:numFmt formatCode="General" sourceLinked="1"/>
        <c:majorTickMark val="none"/>
        <c:minorTickMark val="none"/>
        <c:tickLblPos val="nextTo"/>
        <c:txPr>
          <a:bodyPr/>
          <a:lstStyle/>
          <a:p>
            <a:pPr>
              <a:defRPr sz="1000" b="0"/>
            </a:pPr>
            <a:endParaRPr lang="en-US"/>
          </a:p>
        </c:txPr>
        <c:crossAx val="10"/>
        <c:crosses val="autoZero"/>
        <c:crossBetween val="between"/>
      </c:valAx>
    </c:plotArea>
    <c:legend>
      <c:legendPos val="r"/>
      <c:overlay val="0"/>
      <c:txPr>
        <a:bodyPr/>
        <a:lstStyle/>
        <a:p>
          <a:pPr>
            <a:defRPr sz="1000" b="0"/>
          </a:pPr>
          <a:endParaRPr lang="en-US"/>
        </a:p>
      </c:txPr>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6</xdr:col>
      <xdr:colOff>0</xdr:colOff>
      <xdr:row>21</xdr:row>
      <xdr:rowOff>0</xdr:rowOff>
    </xdr:from>
    <xdr:ext cx="5040000" cy="360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10</xdr:col>
      <xdr:colOff>0</xdr:colOff>
      <xdr:row>11</xdr:row>
      <xdr:rowOff>0</xdr:rowOff>
    </xdr:from>
    <xdr:ext cx="5760000" cy="4320000"/>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0</xdr:colOff>
      <xdr:row>31</xdr:row>
      <xdr:rowOff>0</xdr:rowOff>
    </xdr:from>
    <xdr:ext cx="5040000" cy="3240000"/>
    <xdr:graphicFrame macro="">
      <xdr:nvGraphicFramePr>
        <xdr:cNvPr id="4" name="Chart 3">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topLeftCell="A31" workbookViewId="0">
      <selection sqref="A1:P1"/>
    </sheetView>
  </sheetViews>
  <sheetFormatPr defaultRowHeight="14.4" x14ac:dyDescent="0.3"/>
  <cols>
    <col min="1" max="1" width="28" customWidth="1"/>
    <col min="2" max="3" width="16" customWidth="1"/>
    <col min="4" max="4" width="12" customWidth="1"/>
    <col min="5" max="5" width="18" customWidth="1"/>
    <col min="6" max="6" width="3" customWidth="1"/>
    <col min="7" max="7" width="26" customWidth="1"/>
    <col min="8" max="8" width="14" customWidth="1"/>
    <col min="9" max="9" width="12" customWidth="1"/>
    <col min="10" max="10" width="3" customWidth="1"/>
    <col min="11" max="16" width="14" customWidth="1"/>
  </cols>
  <sheetData>
    <row r="1" spans="1:16" ht="37.950000000000003" customHeight="1" x14ac:dyDescent="0.45">
      <c r="A1" s="80" t="s">
        <v>0</v>
      </c>
      <c r="B1" s="79"/>
      <c r="C1" s="79"/>
      <c r="D1" s="79"/>
      <c r="E1" s="79"/>
      <c r="F1" s="79"/>
      <c r="G1" s="79"/>
      <c r="H1" s="79"/>
      <c r="I1" s="79"/>
      <c r="J1" s="79"/>
      <c r="K1" s="79"/>
      <c r="L1" s="79"/>
      <c r="M1" s="79"/>
      <c r="N1" s="79"/>
      <c r="O1" s="79"/>
      <c r="P1" s="79"/>
    </row>
    <row r="2" spans="1:16" ht="19.95" customHeight="1" x14ac:dyDescent="0.3">
      <c r="A2" s="81" t="s">
        <v>1</v>
      </c>
      <c r="B2" s="79"/>
      <c r="C2" s="79"/>
      <c r="D2" s="79"/>
      <c r="E2" s="79"/>
      <c r="F2" s="79"/>
      <c r="G2" s="79"/>
      <c r="H2" s="79"/>
      <c r="I2" s="79"/>
      <c r="J2" s="79"/>
      <c r="K2" s="79"/>
      <c r="L2" s="79"/>
      <c r="M2" s="79"/>
      <c r="N2" s="79"/>
      <c r="O2" s="79"/>
      <c r="P2" s="79"/>
    </row>
    <row r="4" spans="1:16" ht="24" customHeight="1" x14ac:dyDescent="0.3">
      <c r="A4" s="76" t="s">
        <v>2</v>
      </c>
      <c r="B4" s="77"/>
      <c r="C4" s="77"/>
      <c r="D4" s="77"/>
      <c r="E4" s="78"/>
      <c r="G4" s="76" t="s">
        <v>3</v>
      </c>
      <c r="H4" s="77"/>
      <c r="I4" s="78"/>
      <c r="J4" s="79"/>
      <c r="K4" s="79"/>
    </row>
    <row r="5" spans="1:16" ht="30" customHeight="1" x14ac:dyDescent="0.3">
      <c r="A5" s="30" t="s">
        <v>4</v>
      </c>
      <c r="B5" s="31" t="s">
        <v>5</v>
      </c>
      <c r="C5" s="31" t="s">
        <v>6</v>
      </c>
      <c r="D5" s="31" t="s">
        <v>7</v>
      </c>
      <c r="E5" s="32" t="s">
        <v>8</v>
      </c>
      <c r="G5" s="33" t="s">
        <v>9</v>
      </c>
      <c r="H5" s="34" t="s">
        <v>10</v>
      </c>
      <c r="I5" s="35" t="s">
        <v>7</v>
      </c>
    </row>
    <row r="6" spans="1:16" x14ac:dyDescent="0.3">
      <c r="A6" s="36" t="s">
        <v>11</v>
      </c>
      <c r="B6" s="37">
        <f>COUNTIF('Risk Register'!J3:J45,"Critical")</f>
        <v>9</v>
      </c>
      <c r="C6" s="37">
        <f>COUNTIF('Risk Register'!P3:P45,"Critical")</f>
        <v>3</v>
      </c>
      <c r="D6" s="38">
        <f>B6/43</f>
        <v>0.20930232558139536</v>
      </c>
      <c r="E6" s="39" t="s">
        <v>12</v>
      </c>
      <c r="G6" s="40" t="s">
        <v>13</v>
      </c>
      <c r="H6" s="41">
        <f>COUNTIF('Risk Register'!W3:W45,"Open")</f>
        <v>43</v>
      </c>
      <c r="I6" s="42">
        <f>H6/43</f>
        <v>1</v>
      </c>
    </row>
    <row r="7" spans="1:16" x14ac:dyDescent="0.3">
      <c r="A7" s="43" t="s">
        <v>14</v>
      </c>
      <c r="B7" s="44">
        <f>COUNTIF('Risk Register'!J3:J45,"High")</f>
        <v>28</v>
      </c>
      <c r="C7" s="44">
        <f>COUNTIF('Risk Register'!P3:P45,"High")</f>
        <v>8</v>
      </c>
      <c r="D7" s="45">
        <f>B7/43</f>
        <v>0.65116279069767447</v>
      </c>
      <c r="E7" s="46" t="s">
        <v>15</v>
      </c>
      <c r="G7" s="47" t="s">
        <v>16</v>
      </c>
      <c r="H7" s="48">
        <f>COUNTIF('Risk Register'!W3:W45,"In Progress")</f>
        <v>0</v>
      </c>
      <c r="I7" s="49">
        <f>H7/43</f>
        <v>0</v>
      </c>
    </row>
    <row r="8" spans="1:16" x14ac:dyDescent="0.3">
      <c r="A8" s="50" t="s">
        <v>17</v>
      </c>
      <c r="B8" s="48">
        <f>COUNTIF('Risk Register'!J3:J45,"Medium")</f>
        <v>6</v>
      </c>
      <c r="C8" s="48">
        <f>COUNTIF('Risk Register'!P3:P45,"Medium")</f>
        <v>24</v>
      </c>
      <c r="D8" s="51">
        <f>B8/43</f>
        <v>0.13953488372093023</v>
      </c>
      <c r="E8" s="52" t="s">
        <v>18</v>
      </c>
      <c r="G8" s="53" t="s">
        <v>19</v>
      </c>
      <c r="H8" s="54">
        <f>COUNTIF('Risk Register'!W3:W45,"Closed")</f>
        <v>0</v>
      </c>
      <c r="I8" s="55">
        <f>H8/43</f>
        <v>0</v>
      </c>
    </row>
    <row r="9" spans="1:16" x14ac:dyDescent="0.3">
      <c r="A9" s="56" t="s">
        <v>20</v>
      </c>
      <c r="B9" s="54">
        <f>COUNTIF('Risk Register'!J3:J45,"Low")</f>
        <v>0</v>
      </c>
      <c r="C9" s="54">
        <f>COUNTIF('Risk Register'!P3:P45,"Low")</f>
        <v>8</v>
      </c>
      <c r="D9" s="57">
        <f>B9/43</f>
        <v>0</v>
      </c>
      <c r="E9" s="58" t="s">
        <v>21</v>
      </c>
      <c r="G9" s="59" t="s">
        <v>22</v>
      </c>
      <c r="H9" s="60">
        <f>SUM(H6:H8)</f>
        <v>43</v>
      </c>
      <c r="I9" s="61">
        <f>SUM(I6:I8)</f>
        <v>1</v>
      </c>
    </row>
    <row r="10" spans="1:16" x14ac:dyDescent="0.3">
      <c r="A10" s="59" t="s">
        <v>22</v>
      </c>
      <c r="B10" s="60">
        <f>SUM(B6:B9)</f>
        <v>43</v>
      </c>
      <c r="C10" s="60">
        <f>SUM(C6:C9)</f>
        <v>43</v>
      </c>
      <c r="D10" s="62">
        <f>SUM(D6:D9)</f>
        <v>1</v>
      </c>
      <c r="E10" s="63" t="s">
        <v>23</v>
      </c>
    </row>
    <row r="12" spans="1:16" ht="24" customHeight="1" x14ac:dyDescent="0.3">
      <c r="A12" s="76" t="s">
        <v>24</v>
      </c>
      <c r="B12" s="77"/>
      <c r="C12" s="77"/>
      <c r="D12" s="77"/>
      <c r="E12" s="78"/>
      <c r="G12" s="76" t="s">
        <v>25</v>
      </c>
      <c r="H12" s="78"/>
      <c r="I12" s="79"/>
      <c r="J12" s="79"/>
      <c r="K12" s="79"/>
    </row>
    <row r="13" spans="1:16" ht="30" customHeight="1" x14ac:dyDescent="0.3">
      <c r="A13" s="30" t="s">
        <v>26</v>
      </c>
      <c r="B13" s="31" t="s">
        <v>5</v>
      </c>
      <c r="C13" s="31" t="s">
        <v>6</v>
      </c>
      <c r="D13" s="31" t="s">
        <v>11</v>
      </c>
      <c r="E13" s="32" t="s">
        <v>14</v>
      </c>
      <c r="G13" s="33" t="s">
        <v>27</v>
      </c>
      <c r="H13" s="35" t="s">
        <v>28</v>
      </c>
    </row>
    <row r="14" spans="1:16" x14ac:dyDescent="0.3">
      <c r="A14" s="22" t="s">
        <v>29</v>
      </c>
      <c r="B14" s="6">
        <f>COUNTIF('Risk Register'!B3:B45,"Algorithmic Bias")</f>
        <v>4</v>
      </c>
      <c r="C14" s="6">
        <f>COUNTIF('Risk Register'!B3:B45,"Algorithmic Bias")</f>
        <v>4</v>
      </c>
      <c r="D14" s="6">
        <f>COUNTIFS('Risk Register'!B3:B45,"Algorithmic Bias",'Risk Register'!J3:J45,"Critical")</f>
        <v>1</v>
      </c>
      <c r="E14" s="64">
        <f>COUNTIFS('Risk Register'!B3:B45,"Algorithmic Bias",'Risk Register'!J3:J45,"High")</f>
        <v>2</v>
      </c>
      <c r="G14" s="65" t="s">
        <v>30</v>
      </c>
      <c r="H14" s="64">
        <f>COUNTIF('Risk Register'!E3:E45,"*Colorado SB 24-205*")</f>
        <v>31</v>
      </c>
    </row>
    <row r="15" spans="1:16" x14ac:dyDescent="0.3">
      <c r="A15" s="25" t="s">
        <v>31</v>
      </c>
      <c r="B15" s="12">
        <f>COUNTIF('Risk Register'!B3:B45,"Transparency &amp; Explainability")</f>
        <v>3</v>
      </c>
      <c r="C15" s="12">
        <f>COUNTIF('Risk Register'!B3:B45,"Transparency &amp; Explainability")</f>
        <v>3</v>
      </c>
      <c r="D15" s="12">
        <f>COUNTIFS('Risk Register'!B3:B45,"Transparency &amp; Explainability",'Risk Register'!J3:J45,"Critical")</f>
        <v>2</v>
      </c>
      <c r="E15" s="66">
        <f>COUNTIFS('Risk Register'!B3:B45,"Transparency &amp; Explainability",'Risk Register'!J3:J45,"High")</f>
        <v>1</v>
      </c>
      <c r="G15" s="67" t="s">
        <v>32</v>
      </c>
      <c r="H15" s="66">
        <f>COUNTIF('Risk Register'!E3:E45,"*Texas TRAIGA*")</f>
        <v>24</v>
      </c>
    </row>
    <row r="16" spans="1:16" x14ac:dyDescent="0.3">
      <c r="A16" s="22" t="s">
        <v>33</v>
      </c>
      <c r="B16" s="6">
        <f>COUNTIF('Risk Register'!B3:B45,"High-Risk AI Classification")</f>
        <v>3</v>
      </c>
      <c r="C16" s="6">
        <f>COUNTIF('Risk Register'!B3:B45,"High-Risk AI Classification")</f>
        <v>3</v>
      </c>
      <c r="D16" s="6">
        <f>COUNTIFS('Risk Register'!B3:B45,"High-Risk AI Classification",'Risk Register'!J3:J45,"Critical")</f>
        <v>1</v>
      </c>
      <c r="E16" s="64">
        <f>COUNTIFS('Risk Register'!B3:B45,"High-Risk AI Classification",'Risk Register'!J3:J45,"High")</f>
        <v>2</v>
      </c>
      <c r="G16" s="65" t="s">
        <v>34</v>
      </c>
      <c r="H16" s="64">
        <f>COUNTIF('Risk Register'!E3:E45,"*Illinois HB 3773*")</f>
        <v>6</v>
      </c>
    </row>
    <row r="17" spans="1:8" x14ac:dyDescent="0.3">
      <c r="A17" s="25" t="s">
        <v>35</v>
      </c>
      <c r="B17" s="12">
        <f>COUNTIF('Risk Register'!B3:B45,"Data Governance")</f>
        <v>4</v>
      </c>
      <c r="C17" s="12">
        <f>COUNTIF('Risk Register'!B3:B45,"Data Governance")</f>
        <v>4</v>
      </c>
      <c r="D17" s="12">
        <f>COUNTIFS('Risk Register'!B3:B45,"Data Governance",'Risk Register'!J3:J45,"Critical")</f>
        <v>1</v>
      </c>
      <c r="E17" s="66">
        <f>COUNTIFS('Risk Register'!B3:B45,"Data Governance",'Risk Register'!J3:J45,"High")</f>
        <v>3</v>
      </c>
      <c r="G17" s="67" t="s">
        <v>36</v>
      </c>
      <c r="H17" s="66">
        <f>COUNTIF('Risk Register'!E3:E45,"*California SB 942*")</f>
        <v>6</v>
      </c>
    </row>
    <row r="18" spans="1:8" x14ac:dyDescent="0.3">
      <c r="A18" s="22" t="s">
        <v>37</v>
      </c>
      <c r="B18" s="6">
        <f>COUNTIF('Risk Register'!B3:B45,"Privacy")</f>
        <v>3</v>
      </c>
      <c r="C18" s="6">
        <f>COUNTIF('Risk Register'!B3:B45,"Privacy")</f>
        <v>3</v>
      </c>
      <c r="D18" s="6">
        <f>COUNTIFS('Risk Register'!B3:B45,"Privacy",'Risk Register'!J3:J45,"Critical")</f>
        <v>0</v>
      </c>
      <c r="E18" s="64">
        <f>COUNTIFS('Risk Register'!B3:B45,"Privacy",'Risk Register'!J3:J45,"High")</f>
        <v>3</v>
      </c>
      <c r="G18" s="65" t="s">
        <v>38</v>
      </c>
      <c r="H18" s="64">
        <f>COUNTIF('Risk Register'!E3:E45,"*California AB 2013*")</f>
        <v>9</v>
      </c>
    </row>
    <row r="19" spans="1:8" x14ac:dyDescent="0.3">
      <c r="A19" s="25" t="s">
        <v>39</v>
      </c>
      <c r="B19" s="12">
        <f>COUNTIF('Risk Register'!B3:B45,"Security")</f>
        <v>3</v>
      </c>
      <c r="C19" s="12">
        <f>COUNTIF('Risk Register'!B3:B45,"Security")</f>
        <v>3</v>
      </c>
      <c r="D19" s="12">
        <f>COUNTIFS('Risk Register'!B3:B45,"Security",'Risk Register'!J3:J45,"Critical")</f>
        <v>0</v>
      </c>
      <c r="E19" s="66">
        <f>COUNTIFS('Risk Register'!B3:B45,"Security",'Risk Register'!J3:J45,"High")</f>
        <v>2</v>
      </c>
      <c r="G19" s="67" t="s">
        <v>40</v>
      </c>
      <c r="H19" s="66">
        <f>COUNTIF('Risk Register'!E3:E45,"*California SB 1120*")</f>
        <v>6</v>
      </c>
    </row>
    <row r="20" spans="1:8" x14ac:dyDescent="0.3">
      <c r="A20" s="22" t="s">
        <v>41</v>
      </c>
      <c r="B20" s="6">
        <f>COUNTIF('Risk Register'!B3:B45,"Accuracy &amp; Reliability")</f>
        <v>3</v>
      </c>
      <c r="C20" s="6">
        <f>COUNTIF('Risk Register'!B3:B45,"Accuracy &amp; Reliability")</f>
        <v>3</v>
      </c>
      <c r="D20" s="6">
        <f>COUNTIFS('Risk Register'!B3:B45,"Accuracy &amp; Reliability",'Risk Register'!J3:J45,"Critical")</f>
        <v>2</v>
      </c>
      <c r="E20" s="64">
        <f>COUNTIFS('Risk Register'!B3:B45,"Accuracy &amp; Reliability",'Risk Register'!J3:J45,"High")</f>
        <v>0</v>
      </c>
      <c r="G20" s="65" t="s">
        <v>42</v>
      </c>
      <c r="H20" s="64">
        <f>COUNTIF('Risk Register'!E3:E45,"*New York AEDT*")</f>
        <v>5</v>
      </c>
    </row>
    <row r="21" spans="1:8" x14ac:dyDescent="0.3">
      <c r="A21" s="25" t="s">
        <v>43</v>
      </c>
      <c r="B21" s="12">
        <f>COUNTIF('Risk Register'!B3:B45,"Human Oversight")</f>
        <v>3</v>
      </c>
      <c r="C21" s="12">
        <f>COUNTIF('Risk Register'!B3:B45,"Human Oversight")</f>
        <v>3</v>
      </c>
      <c r="D21" s="12">
        <f>COUNTIFS('Risk Register'!B3:B45,"Human Oversight",'Risk Register'!J3:J45,"Critical")</f>
        <v>0</v>
      </c>
      <c r="E21" s="66">
        <f>COUNTIFS('Risk Register'!B3:B45,"Human Oversight",'Risk Register'!J3:J45,"High")</f>
        <v>3</v>
      </c>
      <c r="G21" s="74" t="s">
        <v>44</v>
      </c>
      <c r="H21" s="75"/>
    </row>
    <row r="22" spans="1:8" x14ac:dyDescent="0.3">
      <c r="A22" s="22" t="s">
        <v>45</v>
      </c>
      <c r="B22" s="6">
        <f>COUNTIF('Risk Register'!B3:B45,"Ethical Impact")</f>
        <v>3</v>
      </c>
      <c r="C22" s="6">
        <f>COUNTIF('Risk Register'!B3:B45,"Ethical Impact")</f>
        <v>3</v>
      </c>
      <c r="D22" s="6">
        <f>COUNTIFS('Risk Register'!B3:B45,"Ethical Impact",'Risk Register'!J3:J45,"Critical")</f>
        <v>0</v>
      </c>
      <c r="E22" s="64">
        <f>COUNTIFS('Risk Register'!B3:B45,"Ethical Impact",'Risk Register'!J3:J45,"High")</f>
        <v>2</v>
      </c>
    </row>
    <row r="23" spans="1:8" x14ac:dyDescent="0.3">
      <c r="A23" s="25" t="s">
        <v>46</v>
      </c>
      <c r="B23" s="12">
        <f>COUNTIF('Risk Register'!B3:B45,"Synthetic Media")</f>
        <v>3</v>
      </c>
      <c r="C23" s="12">
        <f>COUNTIF('Risk Register'!B3:B45,"Synthetic Media")</f>
        <v>3</v>
      </c>
      <c r="D23" s="12">
        <f>COUNTIFS('Risk Register'!B3:B45,"Synthetic Media",'Risk Register'!J3:J45,"Critical")</f>
        <v>0</v>
      </c>
      <c r="E23" s="66">
        <f>COUNTIFS('Risk Register'!B3:B45,"Synthetic Media",'Risk Register'!J3:J45,"High")</f>
        <v>3</v>
      </c>
    </row>
    <row r="24" spans="1:8" x14ac:dyDescent="0.3">
      <c r="A24" s="22" t="s">
        <v>47</v>
      </c>
      <c r="B24" s="6">
        <f>COUNTIF('Risk Register'!B3:B45,"Vendor / Third-Party AI Risk")</f>
        <v>4</v>
      </c>
      <c r="C24" s="6">
        <f>COUNTIF('Risk Register'!B3:B45,"Vendor / Third-Party AI Risk")</f>
        <v>4</v>
      </c>
      <c r="D24" s="6">
        <f>COUNTIFS('Risk Register'!B3:B45,"Vendor / Third-Party AI Risk",'Risk Register'!J3:J45,"Critical")</f>
        <v>2</v>
      </c>
      <c r="E24" s="64">
        <f>COUNTIFS('Risk Register'!B3:B45,"Vendor / Third-Party AI Risk",'Risk Register'!J3:J45,"High")</f>
        <v>1</v>
      </c>
    </row>
    <row r="25" spans="1:8" x14ac:dyDescent="0.3">
      <c r="A25" s="25" t="s">
        <v>48</v>
      </c>
      <c r="B25" s="12">
        <f>COUNTIF('Risk Register'!B3:B45,"AI Lifecycle Risk")</f>
        <v>3</v>
      </c>
      <c r="C25" s="12">
        <f>COUNTIF('Risk Register'!B3:B45,"AI Lifecycle Risk")</f>
        <v>3</v>
      </c>
      <c r="D25" s="12">
        <f>COUNTIFS('Risk Register'!B3:B45,"AI Lifecycle Risk",'Risk Register'!J3:J45,"Critical")</f>
        <v>0</v>
      </c>
      <c r="E25" s="66">
        <f>COUNTIFS('Risk Register'!B3:B45,"AI Lifecycle Risk",'Risk Register'!J3:J45,"High")</f>
        <v>2</v>
      </c>
    </row>
    <row r="26" spans="1:8" x14ac:dyDescent="0.3">
      <c r="A26" s="22" t="s">
        <v>49</v>
      </c>
      <c r="B26" s="6">
        <f>COUNTIF('Risk Register'!B3:B45,"Regulatory Compliance")</f>
        <v>4</v>
      </c>
      <c r="C26" s="6">
        <f>COUNTIF('Risk Register'!B3:B45,"Regulatory Compliance")</f>
        <v>4</v>
      </c>
      <c r="D26" s="6">
        <f>COUNTIFS('Risk Register'!B3:B45,"Regulatory Compliance",'Risk Register'!J3:J45,"Critical")</f>
        <v>0</v>
      </c>
      <c r="E26" s="64">
        <f>COUNTIFS('Risk Register'!B3:B45,"Regulatory Compliance",'Risk Register'!J3:J45,"High")</f>
        <v>4</v>
      </c>
    </row>
    <row r="27" spans="1:8" x14ac:dyDescent="0.3">
      <c r="A27" s="59" t="s">
        <v>22</v>
      </c>
      <c r="B27" s="60">
        <f>SUM(B14:B26)</f>
        <v>43</v>
      </c>
      <c r="C27" s="60">
        <f>SUM(C14:C26)</f>
        <v>43</v>
      </c>
      <c r="D27" s="60">
        <f>SUM(D14:D26)</f>
        <v>9</v>
      </c>
      <c r="E27" s="63">
        <f>SUM(E14:E26)</f>
        <v>28</v>
      </c>
    </row>
    <row r="32" spans="1:8" ht="15.6" x14ac:dyDescent="0.3">
      <c r="A32" s="76" t="s">
        <v>50</v>
      </c>
      <c r="B32" s="77"/>
      <c r="C32" s="78"/>
      <c r="D32" s="79"/>
      <c r="E32" s="79"/>
    </row>
    <row r="33" spans="1:3" x14ac:dyDescent="0.3">
      <c r="A33" s="33" t="s">
        <v>51</v>
      </c>
      <c r="B33" s="34" t="s">
        <v>52</v>
      </c>
      <c r="C33" s="35" t="s">
        <v>53</v>
      </c>
    </row>
    <row r="34" spans="1:3" ht="41.4" x14ac:dyDescent="0.3">
      <c r="A34" s="22" t="s">
        <v>54</v>
      </c>
      <c r="B34" s="5" t="s">
        <v>55</v>
      </c>
      <c r="C34" s="9" t="s">
        <v>56</v>
      </c>
    </row>
    <row r="35" spans="1:3" ht="55.2" x14ac:dyDescent="0.3">
      <c r="A35" s="25" t="s">
        <v>57</v>
      </c>
      <c r="B35" s="11" t="s">
        <v>58</v>
      </c>
      <c r="C35" s="14" t="s">
        <v>59</v>
      </c>
    </row>
    <row r="36" spans="1:3" ht="55.2" x14ac:dyDescent="0.3">
      <c r="A36" s="22" t="s">
        <v>60</v>
      </c>
      <c r="B36" s="5" t="s">
        <v>61</v>
      </c>
      <c r="C36" s="9" t="s">
        <v>62</v>
      </c>
    </row>
    <row r="37" spans="1:3" ht="41.4" x14ac:dyDescent="0.3">
      <c r="A37" s="25" t="s">
        <v>63</v>
      </c>
      <c r="B37" s="11" t="s">
        <v>64</v>
      </c>
      <c r="C37" s="14" t="s">
        <v>65</v>
      </c>
    </row>
    <row r="38" spans="1:3" ht="55.2" x14ac:dyDescent="0.3">
      <c r="A38" s="22" t="s">
        <v>66</v>
      </c>
      <c r="B38" s="5" t="s">
        <v>67</v>
      </c>
      <c r="C38" s="9" t="s">
        <v>68</v>
      </c>
    </row>
    <row r="39" spans="1:3" x14ac:dyDescent="0.3">
      <c r="A39" s="69"/>
      <c r="B39" s="70"/>
      <c r="C39" s="68"/>
    </row>
    <row r="41" spans="1:3" ht="15.6" x14ac:dyDescent="0.3">
      <c r="A41" s="76" t="s">
        <v>69</v>
      </c>
      <c r="B41" s="77"/>
      <c r="C41" s="78"/>
    </row>
    <row r="42" spans="1:3" x14ac:dyDescent="0.3">
      <c r="A42" s="33" t="s">
        <v>70</v>
      </c>
      <c r="B42" s="34" t="s">
        <v>71</v>
      </c>
      <c r="C42" s="35" t="s">
        <v>72</v>
      </c>
    </row>
    <row r="43" spans="1:3" x14ac:dyDescent="0.3">
      <c r="A43" s="36" t="s">
        <v>11</v>
      </c>
      <c r="B43" s="7" t="s">
        <v>73</v>
      </c>
      <c r="C43" s="71" t="s">
        <v>12</v>
      </c>
    </row>
    <row r="44" spans="1:3" x14ac:dyDescent="0.3">
      <c r="A44" s="43" t="s">
        <v>14</v>
      </c>
      <c r="B44" s="13" t="s">
        <v>74</v>
      </c>
      <c r="C44" s="72" t="s">
        <v>15</v>
      </c>
    </row>
    <row r="45" spans="1:3" x14ac:dyDescent="0.3">
      <c r="A45" s="50" t="s">
        <v>17</v>
      </c>
      <c r="B45" s="8" t="s">
        <v>75</v>
      </c>
      <c r="C45" s="73" t="s">
        <v>18</v>
      </c>
    </row>
    <row r="46" spans="1:3" x14ac:dyDescent="0.3">
      <c r="A46" s="56" t="s">
        <v>20</v>
      </c>
      <c r="B46" s="15" t="s">
        <v>76</v>
      </c>
      <c r="C46" s="24" t="s">
        <v>21</v>
      </c>
    </row>
    <row r="47" spans="1:3" x14ac:dyDescent="0.3">
      <c r="A47" s="69"/>
      <c r="B47" s="70"/>
      <c r="C47" s="68"/>
    </row>
  </sheetData>
  <mergeCells count="9">
    <mergeCell ref="A1:P1"/>
    <mergeCell ref="A32:E32"/>
    <mergeCell ref="G4:K4"/>
    <mergeCell ref="A2:P2"/>
    <mergeCell ref="G21:H21"/>
    <mergeCell ref="A12:E12"/>
    <mergeCell ref="A4:E4"/>
    <mergeCell ref="A41:C41"/>
    <mergeCell ref="G12:K1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52"/>
  <sheetViews>
    <sheetView workbookViewId="0">
      <selection sqref="A1:X1"/>
    </sheetView>
  </sheetViews>
  <sheetFormatPr defaultRowHeight="14.4" x14ac:dyDescent="0.3"/>
  <cols>
    <col min="1" max="1" width="10" customWidth="1"/>
    <col min="2" max="2" width="22" customWidth="1"/>
    <col min="3" max="3" width="28" customWidth="1"/>
    <col min="4" max="4" width="45" customWidth="1"/>
    <col min="5" max="5" width="42" customWidth="1"/>
    <col min="6" max="6" width="22" customWidth="1"/>
    <col min="7" max="7" width="14" customWidth="1"/>
    <col min="8" max="10" width="13" customWidth="1"/>
    <col min="11" max="11" width="38" customWidth="1"/>
    <col min="12" max="13" width="14" customWidth="1"/>
    <col min="14" max="15" width="13" customWidth="1"/>
    <col min="16" max="16" width="16" customWidth="1"/>
    <col min="17" max="17" width="42" customWidth="1"/>
    <col min="18" max="19" width="28" customWidth="1"/>
    <col min="20" max="20" width="16" customWidth="1"/>
    <col min="21" max="22" width="14" customWidth="1"/>
    <col min="23" max="23" width="12" customWidth="1"/>
    <col min="24" max="24" width="30" customWidth="1"/>
  </cols>
  <sheetData>
    <row r="1" spans="1:24" ht="30" customHeight="1" x14ac:dyDescent="0.4">
      <c r="A1" s="83" t="s">
        <v>77</v>
      </c>
      <c r="B1" s="79"/>
      <c r="C1" s="79"/>
      <c r="D1" s="79"/>
      <c r="E1" s="79"/>
      <c r="F1" s="79"/>
      <c r="G1" s="79"/>
      <c r="H1" s="79"/>
      <c r="I1" s="79"/>
      <c r="J1" s="79"/>
      <c r="K1" s="79"/>
      <c r="L1" s="79"/>
      <c r="M1" s="79"/>
      <c r="N1" s="79"/>
      <c r="O1" s="79"/>
      <c r="P1" s="79"/>
      <c r="Q1" s="79"/>
      <c r="R1" s="79"/>
      <c r="S1" s="79"/>
      <c r="T1" s="79"/>
      <c r="U1" s="79"/>
      <c r="V1" s="79"/>
      <c r="W1" s="79"/>
      <c r="X1" s="79"/>
    </row>
    <row r="2" spans="1:24" ht="40.049999999999997" customHeight="1" x14ac:dyDescent="0.3">
      <c r="A2" s="1" t="s">
        <v>78</v>
      </c>
      <c r="B2" s="2" t="s">
        <v>26</v>
      </c>
      <c r="C2" s="2" t="s">
        <v>79</v>
      </c>
      <c r="D2" s="2" t="s">
        <v>80</v>
      </c>
      <c r="E2" s="2" t="s">
        <v>81</v>
      </c>
      <c r="F2" s="2" t="s">
        <v>82</v>
      </c>
      <c r="G2" s="2" t="s">
        <v>83</v>
      </c>
      <c r="H2" s="2" t="s">
        <v>84</v>
      </c>
      <c r="I2" s="2" t="s">
        <v>85</v>
      </c>
      <c r="J2" s="2" t="s">
        <v>4</v>
      </c>
      <c r="K2" s="2" t="s">
        <v>86</v>
      </c>
      <c r="L2" s="2" t="s">
        <v>87</v>
      </c>
      <c r="M2" s="2" t="s">
        <v>88</v>
      </c>
      <c r="N2" s="2" t="s">
        <v>89</v>
      </c>
      <c r="O2" s="2" t="s">
        <v>90</v>
      </c>
      <c r="P2" s="2" t="s">
        <v>91</v>
      </c>
      <c r="Q2" s="2" t="s">
        <v>92</v>
      </c>
      <c r="R2" s="2" t="s">
        <v>93</v>
      </c>
      <c r="S2" s="2" t="s">
        <v>94</v>
      </c>
      <c r="T2" s="2" t="s">
        <v>72</v>
      </c>
      <c r="U2" s="2" t="s">
        <v>95</v>
      </c>
      <c r="V2" s="2" t="s">
        <v>96</v>
      </c>
      <c r="W2" s="2" t="s">
        <v>9</v>
      </c>
      <c r="X2" s="3" t="s">
        <v>97</v>
      </c>
    </row>
    <row r="3" spans="1:24" ht="55.2" x14ac:dyDescent="0.3">
      <c r="A3" s="4" t="s">
        <v>98</v>
      </c>
      <c r="B3" s="5" t="s">
        <v>29</v>
      </c>
      <c r="C3" s="5" t="s">
        <v>99</v>
      </c>
      <c r="D3" s="5" t="s">
        <v>100</v>
      </c>
      <c r="E3" s="5" t="s">
        <v>101</v>
      </c>
      <c r="F3" s="5" t="s">
        <v>102</v>
      </c>
      <c r="G3" s="6">
        <v>4</v>
      </c>
      <c r="H3" s="6">
        <v>5</v>
      </c>
      <c r="I3" s="6">
        <f t="shared" ref="I3:I45" si="0">G3*H3</f>
        <v>20</v>
      </c>
      <c r="J3" s="7" t="str">
        <f t="shared" ref="J3:J45" si="1">IF(I3&gt;=16,"Critical",IF(I3&gt;=10,"High",IF(I3&gt;=5,"Medium","Low")))</f>
        <v>Critical</v>
      </c>
      <c r="K3" s="5" t="s">
        <v>103</v>
      </c>
      <c r="L3" s="6" t="s">
        <v>104</v>
      </c>
      <c r="M3" s="6">
        <v>2</v>
      </c>
      <c r="N3" s="6">
        <v>3</v>
      </c>
      <c r="O3" s="6">
        <f t="shared" ref="O3:O45" si="2">M3*N3</f>
        <v>6</v>
      </c>
      <c r="P3" s="8" t="str">
        <f t="shared" ref="P3:P45" si="3">IF(O3&gt;=16,"Critical",IF(O3&gt;=10,"High",IF(O3&gt;=5,"Medium","Low")))</f>
        <v>Medium</v>
      </c>
      <c r="Q3" s="5" t="s">
        <v>105</v>
      </c>
      <c r="R3" s="5" t="s">
        <v>106</v>
      </c>
      <c r="S3" s="5" t="s">
        <v>106</v>
      </c>
      <c r="T3" s="5" t="str">
        <f t="shared" ref="T3:T45" si="4">IF(P3="Critical","Monthly",IF(P3="High","Quarterly",IF(P3="Medium","Semi-Annual","Annual")))</f>
        <v>Semi-Annual</v>
      </c>
      <c r="U3" s="5" t="s">
        <v>107</v>
      </c>
      <c r="V3" s="5" t="s">
        <v>107</v>
      </c>
      <c r="W3" s="6" t="s">
        <v>13</v>
      </c>
      <c r="X3" s="9"/>
    </row>
    <row r="4" spans="1:24" ht="27.6" x14ac:dyDescent="0.3">
      <c r="A4" s="10" t="s">
        <v>108</v>
      </c>
      <c r="B4" s="11" t="s">
        <v>29</v>
      </c>
      <c r="C4" s="11" t="s">
        <v>109</v>
      </c>
      <c r="D4" s="11" t="s">
        <v>110</v>
      </c>
      <c r="E4" s="11" t="s">
        <v>111</v>
      </c>
      <c r="F4" s="11" t="s">
        <v>112</v>
      </c>
      <c r="G4" s="12">
        <v>3</v>
      </c>
      <c r="H4" s="12">
        <v>5</v>
      </c>
      <c r="I4" s="12">
        <f t="shared" si="0"/>
        <v>15</v>
      </c>
      <c r="J4" s="13" t="str">
        <f t="shared" si="1"/>
        <v>High</v>
      </c>
      <c r="K4" s="11" t="s">
        <v>113</v>
      </c>
      <c r="L4" s="12" t="s">
        <v>114</v>
      </c>
      <c r="M4" s="12">
        <v>2</v>
      </c>
      <c r="N4" s="12">
        <v>4</v>
      </c>
      <c r="O4" s="12">
        <f t="shared" si="2"/>
        <v>8</v>
      </c>
      <c r="P4" s="8" t="str">
        <f t="shared" si="3"/>
        <v>Medium</v>
      </c>
      <c r="Q4" s="11" t="s">
        <v>115</v>
      </c>
      <c r="R4" s="11" t="s">
        <v>116</v>
      </c>
      <c r="S4" s="11" t="s">
        <v>116</v>
      </c>
      <c r="T4" s="11" t="str">
        <f t="shared" si="4"/>
        <v>Semi-Annual</v>
      </c>
      <c r="U4" s="11" t="s">
        <v>107</v>
      </c>
      <c r="V4" s="11" t="s">
        <v>107</v>
      </c>
      <c r="W4" s="12" t="s">
        <v>13</v>
      </c>
      <c r="X4" s="14"/>
    </row>
    <row r="5" spans="1:24" ht="41.4" x14ac:dyDescent="0.3">
      <c r="A5" s="4" t="s">
        <v>117</v>
      </c>
      <c r="B5" s="5" t="s">
        <v>29</v>
      </c>
      <c r="C5" s="5" t="s">
        <v>118</v>
      </c>
      <c r="D5" s="5" t="s">
        <v>119</v>
      </c>
      <c r="E5" s="5" t="s">
        <v>120</v>
      </c>
      <c r="F5" s="5" t="s">
        <v>121</v>
      </c>
      <c r="G5" s="6">
        <v>3</v>
      </c>
      <c r="H5" s="6">
        <v>5</v>
      </c>
      <c r="I5" s="6">
        <f t="shared" si="0"/>
        <v>15</v>
      </c>
      <c r="J5" s="13" t="str">
        <f t="shared" si="1"/>
        <v>High</v>
      </c>
      <c r="K5" s="5" t="s">
        <v>122</v>
      </c>
      <c r="L5" s="6" t="s">
        <v>114</v>
      </c>
      <c r="M5" s="6">
        <v>2</v>
      </c>
      <c r="N5" s="6">
        <v>4</v>
      </c>
      <c r="O5" s="6">
        <f t="shared" si="2"/>
        <v>8</v>
      </c>
      <c r="P5" s="8" t="str">
        <f t="shared" si="3"/>
        <v>Medium</v>
      </c>
      <c r="Q5" s="5" t="s">
        <v>123</v>
      </c>
      <c r="R5" s="5" t="s">
        <v>124</v>
      </c>
      <c r="S5" s="5" t="s">
        <v>124</v>
      </c>
      <c r="T5" s="5" t="str">
        <f t="shared" si="4"/>
        <v>Semi-Annual</v>
      </c>
      <c r="U5" s="5" t="s">
        <v>107</v>
      </c>
      <c r="V5" s="5" t="s">
        <v>107</v>
      </c>
      <c r="W5" s="6" t="s">
        <v>13</v>
      </c>
      <c r="X5" s="9"/>
    </row>
    <row r="6" spans="1:24" ht="41.4" x14ac:dyDescent="0.3">
      <c r="A6" s="10" t="s">
        <v>125</v>
      </c>
      <c r="B6" s="11" t="s">
        <v>29</v>
      </c>
      <c r="C6" s="11" t="s">
        <v>126</v>
      </c>
      <c r="D6" s="11" t="s">
        <v>127</v>
      </c>
      <c r="E6" s="11" t="s">
        <v>128</v>
      </c>
      <c r="F6" s="11" t="s">
        <v>129</v>
      </c>
      <c r="G6" s="12">
        <v>3</v>
      </c>
      <c r="H6" s="12">
        <v>3</v>
      </c>
      <c r="I6" s="12">
        <f t="shared" si="0"/>
        <v>9</v>
      </c>
      <c r="J6" s="8" t="str">
        <f t="shared" si="1"/>
        <v>Medium</v>
      </c>
      <c r="K6" s="11" t="s">
        <v>130</v>
      </c>
      <c r="L6" s="12" t="s">
        <v>114</v>
      </c>
      <c r="M6" s="12">
        <v>2</v>
      </c>
      <c r="N6" s="12">
        <v>2</v>
      </c>
      <c r="O6" s="12">
        <f t="shared" si="2"/>
        <v>4</v>
      </c>
      <c r="P6" s="15" t="str">
        <f t="shared" si="3"/>
        <v>Low</v>
      </c>
      <c r="Q6" s="11" t="s">
        <v>131</v>
      </c>
      <c r="R6" s="11" t="s">
        <v>132</v>
      </c>
      <c r="S6" s="11" t="s">
        <v>132</v>
      </c>
      <c r="T6" s="11" t="str">
        <f t="shared" si="4"/>
        <v>Annual</v>
      </c>
      <c r="U6" s="11" t="s">
        <v>107</v>
      </c>
      <c r="V6" s="11" t="s">
        <v>107</v>
      </c>
      <c r="W6" s="12" t="s">
        <v>13</v>
      </c>
      <c r="X6" s="14"/>
    </row>
    <row r="7" spans="1:24" ht="41.4" x14ac:dyDescent="0.3">
      <c r="A7" s="4" t="s">
        <v>133</v>
      </c>
      <c r="B7" s="5" t="s">
        <v>31</v>
      </c>
      <c r="C7" s="5" t="s">
        <v>134</v>
      </c>
      <c r="D7" s="5" t="s">
        <v>135</v>
      </c>
      <c r="E7" s="5" t="s">
        <v>136</v>
      </c>
      <c r="F7" s="5" t="s">
        <v>137</v>
      </c>
      <c r="G7" s="6">
        <v>4</v>
      </c>
      <c r="H7" s="6">
        <v>4</v>
      </c>
      <c r="I7" s="6">
        <f t="shared" si="0"/>
        <v>16</v>
      </c>
      <c r="J7" s="7" t="str">
        <f t="shared" si="1"/>
        <v>Critical</v>
      </c>
      <c r="K7" s="5" t="s">
        <v>138</v>
      </c>
      <c r="L7" s="6" t="s">
        <v>114</v>
      </c>
      <c r="M7" s="6">
        <v>3</v>
      </c>
      <c r="N7" s="6">
        <v>3</v>
      </c>
      <c r="O7" s="6">
        <f t="shared" si="2"/>
        <v>9</v>
      </c>
      <c r="P7" s="8" t="str">
        <f t="shared" si="3"/>
        <v>Medium</v>
      </c>
      <c r="Q7" s="5" t="s">
        <v>139</v>
      </c>
      <c r="R7" s="5" t="s">
        <v>140</v>
      </c>
      <c r="S7" s="5" t="s">
        <v>140</v>
      </c>
      <c r="T7" s="5" t="str">
        <f t="shared" si="4"/>
        <v>Semi-Annual</v>
      </c>
      <c r="U7" s="5" t="s">
        <v>107</v>
      </c>
      <c r="V7" s="5" t="s">
        <v>107</v>
      </c>
      <c r="W7" s="6" t="s">
        <v>13</v>
      </c>
      <c r="X7" s="9"/>
    </row>
    <row r="8" spans="1:24" ht="41.4" x14ac:dyDescent="0.3">
      <c r="A8" s="10" t="s">
        <v>141</v>
      </c>
      <c r="B8" s="11" t="s">
        <v>31</v>
      </c>
      <c r="C8" s="11" t="s">
        <v>142</v>
      </c>
      <c r="D8" s="11" t="s">
        <v>143</v>
      </c>
      <c r="E8" s="11" t="s">
        <v>144</v>
      </c>
      <c r="F8" s="11" t="s">
        <v>145</v>
      </c>
      <c r="G8" s="12">
        <v>3</v>
      </c>
      <c r="H8" s="12">
        <v>4</v>
      </c>
      <c r="I8" s="12">
        <f t="shared" si="0"/>
        <v>12</v>
      </c>
      <c r="J8" s="13" t="str">
        <f t="shared" si="1"/>
        <v>High</v>
      </c>
      <c r="K8" s="11" t="s">
        <v>146</v>
      </c>
      <c r="L8" s="12" t="s">
        <v>114</v>
      </c>
      <c r="M8" s="12">
        <v>2</v>
      </c>
      <c r="N8" s="12">
        <v>3</v>
      </c>
      <c r="O8" s="12">
        <f t="shared" si="2"/>
        <v>6</v>
      </c>
      <c r="P8" s="8" t="str">
        <f t="shared" si="3"/>
        <v>Medium</v>
      </c>
      <c r="Q8" s="11" t="s">
        <v>147</v>
      </c>
      <c r="R8" s="11" t="s">
        <v>148</v>
      </c>
      <c r="S8" s="11" t="s">
        <v>148</v>
      </c>
      <c r="T8" s="11" t="str">
        <f t="shared" si="4"/>
        <v>Semi-Annual</v>
      </c>
      <c r="U8" s="11" t="s">
        <v>107</v>
      </c>
      <c r="V8" s="11" t="s">
        <v>107</v>
      </c>
      <c r="W8" s="12" t="s">
        <v>13</v>
      </c>
      <c r="X8" s="14"/>
    </row>
    <row r="9" spans="1:24" ht="27.6" x14ac:dyDescent="0.3">
      <c r="A9" s="4" t="s">
        <v>149</v>
      </c>
      <c r="B9" s="5" t="s">
        <v>31</v>
      </c>
      <c r="C9" s="5" t="s">
        <v>150</v>
      </c>
      <c r="D9" s="5" t="s">
        <v>151</v>
      </c>
      <c r="E9" s="5" t="s">
        <v>36</v>
      </c>
      <c r="F9" s="5" t="s">
        <v>152</v>
      </c>
      <c r="G9" s="6">
        <v>4</v>
      </c>
      <c r="H9" s="6">
        <v>4</v>
      </c>
      <c r="I9" s="6">
        <f t="shared" si="0"/>
        <v>16</v>
      </c>
      <c r="J9" s="7" t="str">
        <f t="shared" si="1"/>
        <v>Critical</v>
      </c>
      <c r="K9" s="5" t="s">
        <v>153</v>
      </c>
      <c r="L9" s="6" t="s">
        <v>154</v>
      </c>
      <c r="M9" s="6">
        <v>4</v>
      </c>
      <c r="N9" s="6">
        <v>4</v>
      </c>
      <c r="O9" s="6">
        <f t="shared" si="2"/>
        <v>16</v>
      </c>
      <c r="P9" s="7" t="str">
        <f t="shared" si="3"/>
        <v>Critical</v>
      </c>
      <c r="Q9" s="5" t="s">
        <v>155</v>
      </c>
      <c r="R9" s="5" t="s">
        <v>132</v>
      </c>
      <c r="S9" s="5" t="s">
        <v>132</v>
      </c>
      <c r="T9" s="5" t="str">
        <f t="shared" si="4"/>
        <v>Monthly</v>
      </c>
      <c r="U9" s="5" t="s">
        <v>107</v>
      </c>
      <c r="V9" s="5" t="s">
        <v>107</v>
      </c>
      <c r="W9" s="6" t="s">
        <v>13</v>
      </c>
      <c r="X9" s="9"/>
    </row>
    <row r="10" spans="1:24" ht="55.2" x14ac:dyDescent="0.3">
      <c r="A10" s="10" t="s">
        <v>156</v>
      </c>
      <c r="B10" s="11" t="s">
        <v>33</v>
      </c>
      <c r="C10" s="11" t="s">
        <v>157</v>
      </c>
      <c r="D10" s="11" t="s">
        <v>158</v>
      </c>
      <c r="E10" s="11" t="s">
        <v>111</v>
      </c>
      <c r="F10" s="11" t="s">
        <v>137</v>
      </c>
      <c r="G10" s="12">
        <v>3</v>
      </c>
      <c r="H10" s="12">
        <v>5</v>
      </c>
      <c r="I10" s="12">
        <f t="shared" si="0"/>
        <v>15</v>
      </c>
      <c r="J10" s="13" t="str">
        <f t="shared" si="1"/>
        <v>High</v>
      </c>
      <c r="K10" s="11" t="s">
        <v>159</v>
      </c>
      <c r="L10" s="12" t="s">
        <v>154</v>
      </c>
      <c r="M10" s="12">
        <v>3</v>
      </c>
      <c r="N10" s="12">
        <v>5</v>
      </c>
      <c r="O10" s="12">
        <f t="shared" si="2"/>
        <v>15</v>
      </c>
      <c r="P10" s="13" t="str">
        <f t="shared" si="3"/>
        <v>High</v>
      </c>
      <c r="Q10" s="11" t="s">
        <v>160</v>
      </c>
      <c r="R10" s="11" t="s">
        <v>140</v>
      </c>
      <c r="S10" s="11" t="s">
        <v>140</v>
      </c>
      <c r="T10" s="11" t="str">
        <f t="shared" si="4"/>
        <v>Quarterly</v>
      </c>
      <c r="U10" s="11" t="s">
        <v>107</v>
      </c>
      <c r="V10" s="11" t="s">
        <v>107</v>
      </c>
      <c r="W10" s="12" t="s">
        <v>13</v>
      </c>
      <c r="X10" s="14"/>
    </row>
    <row r="11" spans="1:24" ht="41.4" x14ac:dyDescent="0.3">
      <c r="A11" s="4" t="s">
        <v>161</v>
      </c>
      <c r="B11" s="5" t="s">
        <v>33</v>
      </c>
      <c r="C11" s="5" t="s">
        <v>162</v>
      </c>
      <c r="D11" s="5" t="s">
        <v>163</v>
      </c>
      <c r="E11" s="5" t="s">
        <v>164</v>
      </c>
      <c r="F11" s="5" t="s">
        <v>165</v>
      </c>
      <c r="G11" s="6">
        <v>3</v>
      </c>
      <c r="H11" s="6">
        <v>5</v>
      </c>
      <c r="I11" s="6">
        <f t="shared" si="0"/>
        <v>15</v>
      </c>
      <c r="J11" s="13" t="str">
        <f t="shared" si="1"/>
        <v>High</v>
      </c>
      <c r="K11" s="5" t="s">
        <v>166</v>
      </c>
      <c r="L11" s="6" t="s">
        <v>114</v>
      </c>
      <c r="M11" s="6">
        <v>2</v>
      </c>
      <c r="N11" s="6">
        <v>4</v>
      </c>
      <c r="O11" s="6">
        <f t="shared" si="2"/>
        <v>8</v>
      </c>
      <c r="P11" s="8" t="str">
        <f t="shared" si="3"/>
        <v>Medium</v>
      </c>
      <c r="Q11" s="5" t="s">
        <v>167</v>
      </c>
      <c r="R11" s="5" t="s">
        <v>168</v>
      </c>
      <c r="S11" s="5" t="s">
        <v>168</v>
      </c>
      <c r="T11" s="5" t="str">
        <f t="shared" si="4"/>
        <v>Semi-Annual</v>
      </c>
      <c r="U11" s="5" t="s">
        <v>107</v>
      </c>
      <c r="V11" s="5" t="s">
        <v>107</v>
      </c>
      <c r="W11" s="6" t="s">
        <v>13</v>
      </c>
      <c r="X11" s="9"/>
    </row>
    <row r="12" spans="1:24" ht="41.4" x14ac:dyDescent="0.3">
      <c r="A12" s="10" t="s">
        <v>169</v>
      </c>
      <c r="B12" s="11" t="s">
        <v>33</v>
      </c>
      <c r="C12" s="11" t="s">
        <v>170</v>
      </c>
      <c r="D12" s="11" t="s">
        <v>171</v>
      </c>
      <c r="E12" s="11" t="s">
        <v>111</v>
      </c>
      <c r="F12" s="11" t="s">
        <v>137</v>
      </c>
      <c r="G12" s="12">
        <v>4</v>
      </c>
      <c r="H12" s="12">
        <v>4</v>
      </c>
      <c r="I12" s="12">
        <f t="shared" si="0"/>
        <v>16</v>
      </c>
      <c r="J12" s="7" t="str">
        <f t="shared" si="1"/>
        <v>Critical</v>
      </c>
      <c r="K12" s="11" t="s">
        <v>172</v>
      </c>
      <c r="L12" s="12" t="s">
        <v>114</v>
      </c>
      <c r="M12" s="12">
        <v>3</v>
      </c>
      <c r="N12" s="12">
        <v>3</v>
      </c>
      <c r="O12" s="12">
        <f t="shared" si="2"/>
        <v>9</v>
      </c>
      <c r="P12" s="8" t="str">
        <f t="shared" si="3"/>
        <v>Medium</v>
      </c>
      <c r="Q12" s="11" t="s">
        <v>173</v>
      </c>
      <c r="R12" s="11" t="s">
        <v>140</v>
      </c>
      <c r="S12" s="11" t="s">
        <v>140</v>
      </c>
      <c r="T12" s="11" t="str">
        <f t="shared" si="4"/>
        <v>Semi-Annual</v>
      </c>
      <c r="U12" s="11" t="s">
        <v>107</v>
      </c>
      <c r="V12" s="11" t="s">
        <v>107</v>
      </c>
      <c r="W12" s="12" t="s">
        <v>13</v>
      </c>
      <c r="X12" s="14"/>
    </row>
    <row r="13" spans="1:24" ht="41.4" x14ac:dyDescent="0.3">
      <c r="A13" s="4" t="s">
        <v>174</v>
      </c>
      <c r="B13" s="5" t="s">
        <v>35</v>
      </c>
      <c r="C13" s="5" t="s">
        <v>175</v>
      </c>
      <c r="D13" s="5" t="s">
        <v>176</v>
      </c>
      <c r="E13" s="5" t="s">
        <v>38</v>
      </c>
      <c r="F13" s="5" t="s">
        <v>177</v>
      </c>
      <c r="G13" s="6">
        <v>4</v>
      </c>
      <c r="H13" s="6">
        <v>4</v>
      </c>
      <c r="I13" s="6">
        <f t="shared" si="0"/>
        <v>16</v>
      </c>
      <c r="J13" s="7" t="str">
        <f t="shared" si="1"/>
        <v>Critical</v>
      </c>
      <c r="K13" s="5" t="s">
        <v>178</v>
      </c>
      <c r="L13" s="6" t="s">
        <v>154</v>
      </c>
      <c r="M13" s="6">
        <v>4</v>
      </c>
      <c r="N13" s="6">
        <v>4</v>
      </c>
      <c r="O13" s="6">
        <f t="shared" si="2"/>
        <v>16</v>
      </c>
      <c r="P13" s="7" t="str">
        <f t="shared" si="3"/>
        <v>Critical</v>
      </c>
      <c r="Q13" s="5" t="s">
        <v>179</v>
      </c>
      <c r="R13" s="5" t="s">
        <v>180</v>
      </c>
      <c r="S13" s="5" t="s">
        <v>180</v>
      </c>
      <c r="T13" s="5" t="str">
        <f t="shared" si="4"/>
        <v>Monthly</v>
      </c>
      <c r="U13" s="5" t="s">
        <v>107</v>
      </c>
      <c r="V13" s="5" t="s">
        <v>107</v>
      </c>
      <c r="W13" s="6" t="s">
        <v>13</v>
      </c>
      <c r="X13" s="9"/>
    </row>
    <row r="14" spans="1:24" ht="41.4" x14ac:dyDescent="0.3">
      <c r="A14" s="10" t="s">
        <v>181</v>
      </c>
      <c r="B14" s="11" t="s">
        <v>35</v>
      </c>
      <c r="C14" s="11" t="s">
        <v>182</v>
      </c>
      <c r="D14" s="11" t="s">
        <v>183</v>
      </c>
      <c r="E14" s="11" t="s">
        <v>184</v>
      </c>
      <c r="F14" s="11" t="s">
        <v>185</v>
      </c>
      <c r="G14" s="12">
        <v>3</v>
      </c>
      <c r="H14" s="12">
        <v>4</v>
      </c>
      <c r="I14" s="12">
        <f t="shared" si="0"/>
        <v>12</v>
      </c>
      <c r="J14" s="13" t="str">
        <f t="shared" si="1"/>
        <v>High</v>
      </c>
      <c r="K14" s="11" t="s">
        <v>186</v>
      </c>
      <c r="L14" s="12" t="s">
        <v>114</v>
      </c>
      <c r="M14" s="12">
        <v>2</v>
      </c>
      <c r="N14" s="12">
        <v>3</v>
      </c>
      <c r="O14" s="12">
        <f t="shared" si="2"/>
        <v>6</v>
      </c>
      <c r="P14" s="8" t="str">
        <f t="shared" si="3"/>
        <v>Medium</v>
      </c>
      <c r="Q14" s="11" t="s">
        <v>187</v>
      </c>
      <c r="R14" s="11" t="s">
        <v>180</v>
      </c>
      <c r="S14" s="11" t="s">
        <v>180</v>
      </c>
      <c r="T14" s="11" t="str">
        <f t="shared" si="4"/>
        <v>Semi-Annual</v>
      </c>
      <c r="U14" s="11" t="s">
        <v>107</v>
      </c>
      <c r="V14" s="11" t="s">
        <v>107</v>
      </c>
      <c r="W14" s="12" t="s">
        <v>13</v>
      </c>
      <c r="X14" s="14"/>
    </row>
    <row r="15" spans="1:24" ht="41.4" x14ac:dyDescent="0.3">
      <c r="A15" s="4" t="s">
        <v>188</v>
      </c>
      <c r="B15" s="5" t="s">
        <v>35</v>
      </c>
      <c r="C15" s="5" t="s">
        <v>189</v>
      </c>
      <c r="D15" s="5" t="s">
        <v>190</v>
      </c>
      <c r="E15" s="5" t="s">
        <v>111</v>
      </c>
      <c r="F15" s="5" t="s">
        <v>177</v>
      </c>
      <c r="G15" s="6">
        <v>4</v>
      </c>
      <c r="H15" s="6">
        <v>3</v>
      </c>
      <c r="I15" s="6">
        <f t="shared" si="0"/>
        <v>12</v>
      </c>
      <c r="J15" s="13" t="str">
        <f t="shared" si="1"/>
        <v>High</v>
      </c>
      <c r="K15" s="5" t="s">
        <v>191</v>
      </c>
      <c r="L15" s="6" t="s">
        <v>114</v>
      </c>
      <c r="M15" s="6">
        <v>3</v>
      </c>
      <c r="N15" s="6">
        <v>2</v>
      </c>
      <c r="O15" s="6">
        <f t="shared" si="2"/>
        <v>6</v>
      </c>
      <c r="P15" s="8" t="str">
        <f t="shared" si="3"/>
        <v>Medium</v>
      </c>
      <c r="Q15" s="5" t="s">
        <v>192</v>
      </c>
      <c r="R15" s="5" t="s">
        <v>180</v>
      </c>
      <c r="S15" s="5" t="s">
        <v>180</v>
      </c>
      <c r="T15" s="5" t="str">
        <f t="shared" si="4"/>
        <v>Semi-Annual</v>
      </c>
      <c r="U15" s="5" t="s">
        <v>107</v>
      </c>
      <c r="V15" s="5" t="s">
        <v>107</v>
      </c>
      <c r="W15" s="6" t="s">
        <v>13</v>
      </c>
      <c r="X15" s="9"/>
    </row>
    <row r="16" spans="1:24" ht="41.4" x14ac:dyDescent="0.3">
      <c r="A16" s="10" t="s">
        <v>193</v>
      </c>
      <c r="B16" s="11" t="s">
        <v>35</v>
      </c>
      <c r="C16" s="11" t="s">
        <v>194</v>
      </c>
      <c r="D16" s="11" t="s">
        <v>195</v>
      </c>
      <c r="E16" s="11" t="s">
        <v>196</v>
      </c>
      <c r="F16" s="11" t="s">
        <v>197</v>
      </c>
      <c r="G16" s="12">
        <v>3</v>
      </c>
      <c r="H16" s="12">
        <v>4</v>
      </c>
      <c r="I16" s="12">
        <f t="shared" si="0"/>
        <v>12</v>
      </c>
      <c r="J16" s="13" t="str">
        <f t="shared" si="1"/>
        <v>High</v>
      </c>
      <c r="K16" s="11" t="s">
        <v>198</v>
      </c>
      <c r="L16" s="12" t="s">
        <v>114</v>
      </c>
      <c r="M16" s="12">
        <v>2</v>
      </c>
      <c r="N16" s="12">
        <v>3</v>
      </c>
      <c r="O16" s="12">
        <f t="shared" si="2"/>
        <v>6</v>
      </c>
      <c r="P16" s="8" t="str">
        <f t="shared" si="3"/>
        <v>Medium</v>
      </c>
      <c r="Q16" s="11" t="s">
        <v>199</v>
      </c>
      <c r="R16" s="11" t="s">
        <v>200</v>
      </c>
      <c r="S16" s="11" t="s">
        <v>200</v>
      </c>
      <c r="T16" s="11" t="str">
        <f t="shared" si="4"/>
        <v>Semi-Annual</v>
      </c>
      <c r="U16" s="11" t="s">
        <v>107</v>
      </c>
      <c r="V16" s="11" t="s">
        <v>107</v>
      </c>
      <c r="W16" s="12" t="s">
        <v>13</v>
      </c>
      <c r="X16" s="14"/>
    </row>
    <row r="17" spans="1:24" ht="41.4" x14ac:dyDescent="0.3">
      <c r="A17" s="4" t="s">
        <v>201</v>
      </c>
      <c r="B17" s="5" t="s">
        <v>37</v>
      </c>
      <c r="C17" s="5" t="s">
        <v>202</v>
      </c>
      <c r="D17" s="5" t="s">
        <v>203</v>
      </c>
      <c r="E17" s="5" t="s">
        <v>204</v>
      </c>
      <c r="F17" s="5" t="s">
        <v>205</v>
      </c>
      <c r="G17" s="6">
        <v>3</v>
      </c>
      <c r="H17" s="6">
        <v>5</v>
      </c>
      <c r="I17" s="6">
        <f t="shared" si="0"/>
        <v>15</v>
      </c>
      <c r="J17" s="13" t="str">
        <f t="shared" si="1"/>
        <v>High</v>
      </c>
      <c r="K17" s="5" t="s">
        <v>206</v>
      </c>
      <c r="L17" s="6" t="s">
        <v>114</v>
      </c>
      <c r="M17" s="6">
        <v>2</v>
      </c>
      <c r="N17" s="6">
        <v>4</v>
      </c>
      <c r="O17" s="6">
        <f t="shared" si="2"/>
        <v>8</v>
      </c>
      <c r="P17" s="8" t="str">
        <f t="shared" si="3"/>
        <v>Medium</v>
      </c>
      <c r="Q17" s="5" t="s">
        <v>207</v>
      </c>
      <c r="R17" s="5" t="s">
        <v>200</v>
      </c>
      <c r="S17" s="5" t="s">
        <v>200</v>
      </c>
      <c r="T17" s="5" t="str">
        <f t="shared" si="4"/>
        <v>Semi-Annual</v>
      </c>
      <c r="U17" s="5" t="s">
        <v>107</v>
      </c>
      <c r="V17" s="5" t="s">
        <v>107</v>
      </c>
      <c r="W17" s="6" t="s">
        <v>13</v>
      </c>
      <c r="X17" s="9"/>
    </row>
    <row r="18" spans="1:24" ht="27.6" x14ac:dyDescent="0.3">
      <c r="A18" s="10" t="s">
        <v>208</v>
      </c>
      <c r="B18" s="11" t="s">
        <v>37</v>
      </c>
      <c r="C18" s="11" t="s">
        <v>209</v>
      </c>
      <c r="D18" s="11" t="s">
        <v>210</v>
      </c>
      <c r="E18" s="11" t="s">
        <v>196</v>
      </c>
      <c r="F18" s="11" t="s">
        <v>211</v>
      </c>
      <c r="G18" s="12">
        <v>2</v>
      </c>
      <c r="H18" s="12">
        <v>5</v>
      </c>
      <c r="I18" s="12">
        <f t="shared" si="0"/>
        <v>10</v>
      </c>
      <c r="J18" s="13" t="str">
        <f t="shared" si="1"/>
        <v>High</v>
      </c>
      <c r="K18" s="11" t="s">
        <v>212</v>
      </c>
      <c r="L18" s="12" t="s">
        <v>114</v>
      </c>
      <c r="M18" s="12">
        <v>1</v>
      </c>
      <c r="N18" s="12">
        <v>4</v>
      </c>
      <c r="O18" s="12">
        <f t="shared" si="2"/>
        <v>4</v>
      </c>
      <c r="P18" s="15" t="str">
        <f t="shared" si="3"/>
        <v>Low</v>
      </c>
      <c r="Q18" s="11" t="s">
        <v>213</v>
      </c>
      <c r="R18" s="11" t="s">
        <v>200</v>
      </c>
      <c r="S18" s="11" t="s">
        <v>200</v>
      </c>
      <c r="T18" s="11" t="str">
        <f t="shared" si="4"/>
        <v>Annual</v>
      </c>
      <c r="U18" s="11" t="s">
        <v>107</v>
      </c>
      <c r="V18" s="11" t="s">
        <v>107</v>
      </c>
      <c r="W18" s="12" t="s">
        <v>13</v>
      </c>
      <c r="X18" s="14"/>
    </row>
    <row r="19" spans="1:24" ht="41.4" x14ac:dyDescent="0.3">
      <c r="A19" s="4" t="s">
        <v>214</v>
      </c>
      <c r="B19" s="5" t="s">
        <v>37</v>
      </c>
      <c r="C19" s="5" t="s">
        <v>215</v>
      </c>
      <c r="D19" s="5" t="s">
        <v>216</v>
      </c>
      <c r="E19" s="5" t="s">
        <v>30</v>
      </c>
      <c r="F19" s="5" t="s">
        <v>217</v>
      </c>
      <c r="G19" s="6">
        <v>3</v>
      </c>
      <c r="H19" s="6">
        <v>4</v>
      </c>
      <c r="I19" s="6">
        <f t="shared" si="0"/>
        <v>12</v>
      </c>
      <c r="J19" s="13" t="str">
        <f t="shared" si="1"/>
        <v>High</v>
      </c>
      <c r="K19" s="5" t="s">
        <v>218</v>
      </c>
      <c r="L19" s="6" t="s">
        <v>114</v>
      </c>
      <c r="M19" s="6">
        <v>2</v>
      </c>
      <c r="N19" s="6">
        <v>3</v>
      </c>
      <c r="O19" s="6">
        <f t="shared" si="2"/>
        <v>6</v>
      </c>
      <c r="P19" s="8" t="str">
        <f t="shared" si="3"/>
        <v>Medium</v>
      </c>
      <c r="Q19" s="5" t="s">
        <v>219</v>
      </c>
      <c r="R19" s="5" t="s">
        <v>200</v>
      </c>
      <c r="S19" s="5" t="s">
        <v>200</v>
      </c>
      <c r="T19" s="5" t="str">
        <f t="shared" si="4"/>
        <v>Semi-Annual</v>
      </c>
      <c r="U19" s="5" t="s">
        <v>107</v>
      </c>
      <c r="V19" s="5" t="s">
        <v>107</v>
      </c>
      <c r="W19" s="6" t="s">
        <v>13</v>
      </c>
      <c r="X19" s="9"/>
    </row>
    <row r="20" spans="1:24" ht="41.4" x14ac:dyDescent="0.3">
      <c r="A20" s="10" t="s">
        <v>220</v>
      </c>
      <c r="B20" s="11" t="s">
        <v>39</v>
      </c>
      <c r="C20" s="11" t="s">
        <v>221</v>
      </c>
      <c r="D20" s="11" t="s">
        <v>222</v>
      </c>
      <c r="E20" s="11" t="s">
        <v>111</v>
      </c>
      <c r="F20" s="11" t="s">
        <v>223</v>
      </c>
      <c r="G20" s="12">
        <v>3</v>
      </c>
      <c r="H20" s="12">
        <v>5</v>
      </c>
      <c r="I20" s="12">
        <f t="shared" si="0"/>
        <v>15</v>
      </c>
      <c r="J20" s="13" t="str">
        <f t="shared" si="1"/>
        <v>High</v>
      </c>
      <c r="K20" s="11" t="s">
        <v>224</v>
      </c>
      <c r="L20" s="12" t="s">
        <v>114</v>
      </c>
      <c r="M20" s="12">
        <v>2</v>
      </c>
      <c r="N20" s="12">
        <v>4</v>
      </c>
      <c r="O20" s="12">
        <f t="shared" si="2"/>
        <v>8</v>
      </c>
      <c r="P20" s="8" t="str">
        <f t="shared" si="3"/>
        <v>Medium</v>
      </c>
      <c r="Q20" s="11" t="s">
        <v>225</v>
      </c>
      <c r="R20" s="11" t="s">
        <v>226</v>
      </c>
      <c r="S20" s="11" t="s">
        <v>226</v>
      </c>
      <c r="T20" s="11" t="str">
        <f t="shared" si="4"/>
        <v>Semi-Annual</v>
      </c>
      <c r="U20" s="11" t="s">
        <v>107</v>
      </c>
      <c r="V20" s="11" t="s">
        <v>107</v>
      </c>
      <c r="W20" s="12" t="s">
        <v>13</v>
      </c>
      <c r="X20" s="14"/>
    </row>
    <row r="21" spans="1:24" ht="41.4" x14ac:dyDescent="0.3">
      <c r="A21" s="4" t="s">
        <v>227</v>
      </c>
      <c r="B21" s="5" t="s">
        <v>39</v>
      </c>
      <c r="C21" s="5" t="s">
        <v>228</v>
      </c>
      <c r="D21" s="5" t="s">
        <v>229</v>
      </c>
      <c r="E21" s="5" t="s">
        <v>230</v>
      </c>
      <c r="F21" s="5" t="s">
        <v>223</v>
      </c>
      <c r="G21" s="6">
        <v>2</v>
      </c>
      <c r="H21" s="6">
        <v>4</v>
      </c>
      <c r="I21" s="6">
        <f t="shared" si="0"/>
        <v>8</v>
      </c>
      <c r="J21" s="8" t="str">
        <f t="shared" si="1"/>
        <v>Medium</v>
      </c>
      <c r="K21" s="5" t="s">
        <v>231</v>
      </c>
      <c r="L21" s="6" t="s">
        <v>114</v>
      </c>
      <c r="M21" s="6">
        <v>1</v>
      </c>
      <c r="N21" s="6">
        <v>3</v>
      </c>
      <c r="O21" s="6">
        <f t="shared" si="2"/>
        <v>3</v>
      </c>
      <c r="P21" s="15" t="str">
        <f t="shared" si="3"/>
        <v>Low</v>
      </c>
      <c r="Q21" s="5" t="s">
        <v>232</v>
      </c>
      <c r="R21" s="5" t="s">
        <v>226</v>
      </c>
      <c r="S21" s="5" t="s">
        <v>226</v>
      </c>
      <c r="T21" s="5" t="str">
        <f t="shared" si="4"/>
        <v>Annual</v>
      </c>
      <c r="U21" s="5" t="s">
        <v>107</v>
      </c>
      <c r="V21" s="5" t="s">
        <v>107</v>
      </c>
      <c r="W21" s="6" t="s">
        <v>13</v>
      </c>
      <c r="X21" s="9"/>
    </row>
    <row r="22" spans="1:24" ht="41.4" x14ac:dyDescent="0.3">
      <c r="A22" s="10" t="s">
        <v>233</v>
      </c>
      <c r="B22" s="11" t="s">
        <v>39</v>
      </c>
      <c r="C22" s="11" t="s">
        <v>234</v>
      </c>
      <c r="D22" s="11" t="s">
        <v>235</v>
      </c>
      <c r="E22" s="11" t="s">
        <v>32</v>
      </c>
      <c r="F22" s="11" t="s">
        <v>236</v>
      </c>
      <c r="G22" s="12">
        <v>2</v>
      </c>
      <c r="H22" s="12">
        <v>5</v>
      </c>
      <c r="I22" s="12">
        <f t="shared" si="0"/>
        <v>10</v>
      </c>
      <c r="J22" s="13" t="str">
        <f t="shared" si="1"/>
        <v>High</v>
      </c>
      <c r="K22" s="11" t="s">
        <v>237</v>
      </c>
      <c r="L22" s="12" t="s">
        <v>114</v>
      </c>
      <c r="M22" s="12">
        <v>1</v>
      </c>
      <c r="N22" s="12">
        <v>4</v>
      </c>
      <c r="O22" s="12">
        <f t="shared" si="2"/>
        <v>4</v>
      </c>
      <c r="P22" s="15" t="str">
        <f t="shared" si="3"/>
        <v>Low</v>
      </c>
      <c r="Q22" s="11" t="s">
        <v>238</v>
      </c>
      <c r="R22" s="11" t="s">
        <v>226</v>
      </c>
      <c r="S22" s="11" t="s">
        <v>226</v>
      </c>
      <c r="T22" s="11" t="str">
        <f t="shared" si="4"/>
        <v>Annual</v>
      </c>
      <c r="U22" s="11" t="s">
        <v>107</v>
      </c>
      <c r="V22" s="11" t="s">
        <v>107</v>
      </c>
      <c r="W22" s="12" t="s">
        <v>13</v>
      </c>
      <c r="X22" s="14"/>
    </row>
    <row r="23" spans="1:24" ht="41.4" x14ac:dyDescent="0.3">
      <c r="A23" s="4" t="s">
        <v>239</v>
      </c>
      <c r="B23" s="5" t="s">
        <v>41</v>
      </c>
      <c r="C23" s="5" t="s">
        <v>240</v>
      </c>
      <c r="D23" s="5" t="s">
        <v>241</v>
      </c>
      <c r="E23" s="5" t="s">
        <v>242</v>
      </c>
      <c r="F23" s="5" t="s">
        <v>137</v>
      </c>
      <c r="G23" s="6">
        <v>4</v>
      </c>
      <c r="H23" s="6">
        <v>5</v>
      </c>
      <c r="I23" s="6">
        <f t="shared" si="0"/>
        <v>20</v>
      </c>
      <c r="J23" s="7" t="str">
        <f t="shared" si="1"/>
        <v>Critical</v>
      </c>
      <c r="K23" s="5" t="s">
        <v>243</v>
      </c>
      <c r="L23" s="6" t="s">
        <v>114</v>
      </c>
      <c r="M23" s="6">
        <v>3</v>
      </c>
      <c r="N23" s="6">
        <v>4</v>
      </c>
      <c r="O23" s="6">
        <f t="shared" si="2"/>
        <v>12</v>
      </c>
      <c r="P23" s="13" t="str">
        <f t="shared" si="3"/>
        <v>High</v>
      </c>
      <c r="Q23" s="5" t="s">
        <v>244</v>
      </c>
      <c r="R23" s="5" t="s">
        <v>140</v>
      </c>
      <c r="S23" s="5" t="s">
        <v>140</v>
      </c>
      <c r="T23" s="5" t="str">
        <f t="shared" si="4"/>
        <v>Quarterly</v>
      </c>
      <c r="U23" s="5" t="s">
        <v>107</v>
      </c>
      <c r="V23" s="5" t="s">
        <v>107</v>
      </c>
      <c r="W23" s="6" t="s">
        <v>13</v>
      </c>
      <c r="X23" s="9"/>
    </row>
    <row r="24" spans="1:24" ht="41.4" x14ac:dyDescent="0.3">
      <c r="A24" s="10" t="s">
        <v>245</v>
      </c>
      <c r="B24" s="11" t="s">
        <v>41</v>
      </c>
      <c r="C24" s="11" t="s">
        <v>246</v>
      </c>
      <c r="D24" s="11" t="s">
        <v>247</v>
      </c>
      <c r="E24" s="11" t="s">
        <v>111</v>
      </c>
      <c r="F24" s="11" t="s">
        <v>165</v>
      </c>
      <c r="G24" s="12">
        <v>4</v>
      </c>
      <c r="H24" s="12">
        <v>4</v>
      </c>
      <c r="I24" s="12">
        <f t="shared" si="0"/>
        <v>16</v>
      </c>
      <c r="J24" s="7" t="str">
        <f t="shared" si="1"/>
        <v>Critical</v>
      </c>
      <c r="K24" s="11" t="s">
        <v>248</v>
      </c>
      <c r="L24" s="12" t="s">
        <v>114</v>
      </c>
      <c r="M24" s="12">
        <v>3</v>
      </c>
      <c r="N24" s="12">
        <v>3</v>
      </c>
      <c r="O24" s="12">
        <f t="shared" si="2"/>
        <v>9</v>
      </c>
      <c r="P24" s="8" t="str">
        <f t="shared" si="3"/>
        <v>Medium</v>
      </c>
      <c r="Q24" s="11" t="s">
        <v>249</v>
      </c>
      <c r="R24" s="11" t="s">
        <v>168</v>
      </c>
      <c r="S24" s="11" t="s">
        <v>168</v>
      </c>
      <c r="T24" s="11" t="str">
        <f t="shared" si="4"/>
        <v>Semi-Annual</v>
      </c>
      <c r="U24" s="11" t="s">
        <v>107</v>
      </c>
      <c r="V24" s="11" t="s">
        <v>107</v>
      </c>
      <c r="W24" s="12" t="s">
        <v>13</v>
      </c>
      <c r="X24" s="14"/>
    </row>
    <row r="25" spans="1:24" ht="41.4" x14ac:dyDescent="0.3">
      <c r="A25" s="4" t="s">
        <v>250</v>
      </c>
      <c r="B25" s="5" t="s">
        <v>41</v>
      </c>
      <c r="C25" s="5" t="s">
        <v>251</v>
      </c>
      <c r="D25" s="5" t="s">
        <v>252</v>
      </c>
      <c r="E25" s="5" t="s">
        <v>40</v>
      </c>
      <c r="F25" s="5" t="s">
        <v>165</v>
      </c>
      <c r="G25" s="6">
        <v>3</v>
      </c>
      <c r="H25" s="6">
        <v>3</v>
      </c>
      <c r="I25" s="6">
        <f t="shared" si="0"/>
        <v>9</v>
      </c>
      <c r="J25" s="8" t="str">
        <f t="shared" si="1"/>
        <v>Medium</v>
      </c>
      <c r="K25" s="5" t="s">
        <v>253</v>
      </c>
      <c r="L25" s="6" t="s">
        <v>104</v>
      </c>
      <c r="M25" s="6">
        <v>1</v>
      </c>
      <c r="N25" s="6">
        <v>1</v>
      </c>
      <c r="O25" s="6">
        <f t="shared" si="2"/>
        <v>1</v>
      </c>
      <c r="P25" s="15" t="str">
        <f t="shared" si="3"/>
        <v>Low</v>
      </c>
      <c r="Q25" s="5" t="s">
        <v>254</v>
      </c>
      <c r="R25" s="5" t="s">
        <v>168</v>
      </c>
      <c r="S25" s="5" t="s">
        <v>168</v>
      </c>
      <c r="T25" s="5" t="str">
        <f t="shared" si="4"/>
        <v>Annual</v>
      </c>
      <c r="U25" s="5" t="s">
        <v>107</v>
      </c>
      <c r="V25" s="5" t="s">
        <v>107</v>
      </c>
      <c r="W25" s="6" t="s">
        <v>13</v>
      </c>
      <c r="X25" s="9"/>
    </row>
    <row r="26" spans="1:24" ht="41.4" x14ac:dyDescent="0.3">
      <c r="A26" s="10" t="s">
        <v>255</v>
      </c>
      <c r="B26" s="11" t="s">
        <v>43</v>
      </c>
      <c r="C26" s="11" t="s">
        <v>256</v>
      </c>
      <c r="D26" s="11" t="s">
        <v>257</v>
      </c>
      <c r="E26" s="11" t="s">
        <v>258</v>
      </c>
      <c r="F26" s="11" t="s">
        <v>259</v>
      </c>
      <c r="G26" s="12">
        <v>3</v>
      </c>
      <c r="H26" s="12">
        <v>5</v>
      </c>
      <c r="I26" s="12">
        <f t="shared" si="0"/>
        <v>15</v>
      </c>
      <c r="J26" s="13" t="str">
        <f t="shared" si="1"/>
        <v>High</v>
      </c>
      <c r="K26" s="11" t="s">
        <v>260</v>
      </c>
      <c r="L26" s="12" t="s">
        <v>114</v>
      </c>
      <c r="M26" s="12">
        <v>2</v>
      </c>
      <c r="N26" s="12">
        <v>4</v>
      </c>
      <c r="O26" s="12">
        <f t="shared" si="2"/>
        <v>8</v>
      </c>
      <c r="P26" s="8" t="str">
        <f t="shared" si="3"/>
        <v>Medium</v>
      </c>
      <c r="Q26" s="11" t="s">
        <v>261</v>
      </c>
      <c r="R26" s="11" t="s">
        <v>140</v>
      </c>
      <c r="S26" s="11" t="s">
        <v>140</v>
      </c>
      <c r="T26" s="11" t="str">
        <f t="shared" si="4"/>
        <v>Semi-Annual</v>
      </c>
      <c r="U26" s="11" t="s">
        <v>107</v>
      </c>
      <c r="V26" s="11" t="s">
        <v>107</v>
      </c>
      <c r="W26" s="12" t="s">
        <v>13</v>
      </c>
      <c r="X26" s="14"/>
    </row>
    <row r="27" spans="1:24" ht="41.4" x14ac:dyDescent="0.3">
      <c r="A27" s="4" t="s">
        <v>262</v>
      </c>
      <c r="B27" s="5" t="s">
        <v>43</v>
      </c>
      <c r="C27" s="5" t="s">
        <v>263</v>
      </c>
      <c r="D27" s="5" t="s">
        <v>264</v>
      </c>
      <c r="E27" s="5" t="s">
        <v>111</v>
      </c>
      <c r="F27" s="5" t="s">
        <v>265</v>
      </c>
      <c r="G27" s="6">
        <v>3</v>
      </c>
      <c r="H27" s="6">
        <v>4</v>
      </c>
      <c r="I27" s="6">
        <f t="shared" si="0"/>
        <v>12</v>
      </c>
      <c r="J27" s="13" t="str">
        <f t="shared" si="1"/>
        <v>High</v>
      </c>
      <c r="K27" s="5" t="s">
        <v>266</v>
      </c>
      <c r="L27" s="6" t="s">
        <v>154</v>
      </c>
      <c r="M27" s="6">
        <v>3</v>
      </c>
      <c r="N27" s="6">
        <v>4</v>
      </c>
      <c r="O27" s="6">
        <f t="shared" si="2"/>
        <v>12</v>
      </c>
      <c r="P27" s="13" t="str">
        <f t="shared" si="3"/>
        <v>High</v>
      </c>
      <c r="Q27" s="5" t="s">
        <v>267</v>
      </c>
      <c r="R27" s="5" t="s">
        <v>148</v>
      </c>
      <c r="S27" s="5" t="s">
        <v>148</v>
      </c>
      <c r="T27" s="5" t="str">
        <f t="shared" si="4"/>
        <v>Quarterly</v>
      </c>
      <c r="U27" s="5" t="s">
        <v>107</v>
      </c>
      <c r="V27" s="5" t="s">
        <v>107</v>
      </c>
      <c r="W27" s="6" t="s">
        <v>13</v>
      </c>
      <c r="X27" s="9"/>
    </row>
    <row r="28" spans="1:24" ht="41.4" x14ac:dyDescent="0.3">
      <c r="A28" s="10" t="s">
        <v>268</v>
      </c>
      <c r="B28" s="11" t="s">
        <v>43</v>
      </c>
      <c r="C28" s="11" t="s">
        <v>269</v>
      </c>
      <c r="D28" s="11" t="s">
        <v>270</v>
      </c>
      <c r="E28" s="11" t="s">
        <v>271</v>
      </c>
      <c r="F28" s="11" t="s">
        <v>272</v>
      </c>
      <c r="G28" s="12">
        <v>4</v>
      </c>
      <c r="H28" s="12">
        <v>3</v>
      </c>
      <c r="I28" s="12">
        <f t="shared" si="0"/>
        <v>12</v>
      </c>
      <c r="J28" s="13" t="str">
        <f t="shared" si="1"/>
        <v>High</v>
      </c>
      <c r="K28" s="11" t="s">
        <v>273</v>
      </c>
      <c r="L28" s="12" t="s">
        <v>154</v>
      </c>
      <c r="M28" s="12">
        <v>4</v>
      </c>
      <c r="N28" s="12">
        <v>3</v>
      </c>
      <c r="O28" s="12">
        <f t="shared" si="2"/>
        <v>12</v>
      </c>
      <c r="P28" s="13" t="str">
        <f t="shared" si="3"/>
        <v>High</v>
      </c>
      <c r="Q28" s="11" t="s">
        <v>274</v>
      </c>
      <c r="R28" s="11" t="s">
        <v>140</v>
      </c>
      <c r="S28" s="11" t="s">
        <v>140</v>
      </c>
      <c r="T28" s="11" t="str">
        <f t="shared" si="4"/>
        <v>Quarterly</v>
      </c>
      <c r="U28" s="11" t="s">
        <v>107</v>
      </c>
      <c r="V28" s="11" t="s">
        <v>107</v>
      </c>
      <c r="W28" s="12" t="s">
        <v>13</v>
      </c>
      <c r="X28" s="14"/>
    </row>
    <row r="29" spans="1:24" ht="41.4" x14ac:dyDescent="0.3">
      <c r="A29" s="4" t="s">
        <v>275</v>
      </c>
      <c r="B29" s="5" t="s">
        <v>45</v>
      </c>
      <c r="C29" s="5" t="s">
        <v>276</v>
      </c>
      <c r="D29" s="5" t="s">
        <v>277</v>
      </c>
      <c r="E29" s="5" t="s">
        <v>111</v>
      </c>
      <c r="F29" s="5" t="s">
        <v>278</v>
      </c>
      <c r="G29" s="6">
        <v>2</v>
      </c>
      <c r="H29" s="6">
        <v>5</v>
      </c>
      <c r="I29" s="6">
        <f t="shared" si="0"/>
        <v>10</v>
      </c>
      <c r="J29" s="13" t="str">
        <f t="shared" si="1"/>
        <v>High</v>
      </c>
      <c r="K29" s="5" t="s">
        <v>279</v>
      </c>
      <c r="L29" s="6" t="s">
        <v>114</v>
      </c>
      <c r="M29" s="6">
        <v>1</v>
      </c>
      <c r="N29" s="6">
        <v>4</v>
      </c>
      <c r="O29" s="6">
        <f t="shared" si="2"/>
        <v>4</v>
      </c>
      <c r="P29" s="15" t="str">
        <f t="shared" si="3"/>
        <v>Low</v>
      </c>
      <c r="Q29" s="5" t="s">
        <v>280</v>
      </c>
      <c r="R29" s="5" t="s">
        <v>281</v>
      </c>
      <c r="S29" s="5" t="s">
        <v>281</v>
      </c>
      <c r="T29" s="5" t="str">
        <f t="shared" si="4"/>
        <v>Annual</v>
      </c>
      <c r="U29" s="5" t="s">
        <v>107</v>
      </c>
      <c r="V29" s="5" t="s">
        <v>107</v>
      </c>
      <c r="W29" s="6" t="s">
        <v>13</v>
      </c>
      <c r="X29" s="9"/>
    </row>
    <row r="30" spans="1:24" ht="41.4" x14ac:dyDescent="0.3">
      <c r="A30" s="10" t="s">
        <v>282</v>
      </c>
      <c r="B30" s="11" t="s">
        <v>45</v>
      </c>
      <c r="C30" s="11" t="s">
        <v>283</v>
      </c>
      <c r="D30" s="11" t="s">
        <v>284</v>
      </c>
      <c r="E30" s="11" t="s">
        <v>32</v>
      </c>
      <c r="F30" s="11" t="s">
        <v>285</v>
      </c>
      <c r="G30" s="12">
        <v>3</v>
      </c>
      <c r="H30" s="12">
        <v>4</v>
      </c>
      <c r="I30" s="12">
        <f t="shared" si="0"/>
        <v>12</v>
      </c>
      <c r="J30" s="13" t="str">
        <f t="shared" si="1"/>
        <v>High</v>
      </c>
      <c r="K30" s="11" t="s">
        <v>286</v>
      </c>
      <c r="L30" s="12" t="s">
        <v>154</v>
      </c>
      <c r="M30" s="12">
        <v>3</v>
      </c>
      <c r="N30" s="12">
        <v>4</v>
      </c>
      <c r="O30" s="12">
        <f t="shared" si="2"/>
        <v>12</v>
      </c>
      <c r="P30" s="13" t="str">
        <f t="shared" si="3"/>
        <v>High</v>
      </c>
      <c r="Q30" s="11" t="s">
        <v>287</v>
      </c>
      <c r="R30" s="11" t="s">
        <v>281</v>
      </c>
      <c r="S30" s="11" t="s">
        <v>281</v>
      </c>
      <c r="T30" s="11" t="str">
        <f t="shared" si="4"/>
        <v>Quarterly</v>
      </c>
      <c r="U30" s="11" t="s">
        <v>107</v>
      </c>
      <c r="V30" s="11" t="s">
        <v>107</v>
      </c>
      <c r="W30" s="12" t="s">
        <v>13</v>
      </c>
      <c r="X30" s="14"/>
    </row>
    <row r="31" spans="1:24" ht="41.4" x14ac:dyDescent="0.3">
      <c r="A31" s="4" t="s">
        <v>288</v>
      </c>
      <c r="B31" s="5" t="s">
        <v>45</v>
      </c>
      <c r="C31" s="5" t="s">
        <v>289</v>
      </c>
      <c r="D31" s="5" t="s">
        <v>290</v>
      </c>
      <c r="E31" s="5" t="s">
        <v>291</v>
      </c>
      <c r="F31" s="5" t="s">
        <v>292</v>
      </c>
      <c r="G31" s="6">
        <v>3</v>
      </c>
      <c r="H31" s="6">
        <v>3</v>
      </c>
      <c r="I31" s="6">
        <f t="shared" si="0"/>
        <v>9</v>
      </c>
      <c r="J31" s="8" t="str">
        <f t="shared" si="1"/>
        <v>Medium</v>
      </c>
      <c r="K31" s="5" t="s">
        <v>293</v>
      </c>
      <c r="L31" s="6" t="s">
        <v>154</v>
      </c>
      <c r="M31" s="6">
        <v>3</v>
      </c>
      <c r="N31" s="6">
        <v>3</v>
      </c>
      <c r="O31" s="6">
        <f t="shared" si="2"/>
        <v>9</v>
      </c>
      <c r="P31" s="8" t="str">
        <f t="shared" si="3"/>
        <v>Medium</v>
      </c>
      <c r="Q31" s="5" t="s">
        <v>294</v>
      </c>
      <c r="R31" s="5" t="s">
        <v>295</v>
      </c>
      <c r="S31" s="5" t="s">
        <v>295</v>
      </c>
      <c r="T31" s="5" t="str">
        <f t="shared" si="4"/>
        <v>Semi-Annual</v>
      </c>
      <c r="U31" s="5" t="s">
        <v>107</v>
      </c>
      <c r="V31" s="5" t="s">
        <v>107</v>
      </c>
      <c r="W31" s="6" t="s">
        <v>13</v>
      </c>
      <c r="X31" s="9"/>
    </row>
    <row r="32" spans="1:24" ht="41.4" x14ac:dyDescent="0.3">
      <c r="A32" s="10" t="s">
        <v>296</v>
      </c>
      <c r="B32" s="11" t="s">
        <v>46</v>
      </c>
      <c r="C32" s="11" t="s">
        <v>297</v>
      </c>
      <c r="D32" s="11" t="s">
        <v>298</v>
      </c>
      <c r="E32" s="11" t="s">
        <v>36</v>
      </c>
      <c r="F32" s="11" t="s">
        <v>299</v>
      </c>
      <c r="G32" s="12">
        <v>3</v>
      </c>
      <c r="H32" s="12">
        <v>5</v>
      </c>
      <c r="I32" s="12">
        <f t="shared" si="0"/>
        <v>15</v>
      </c>
      <c r="J32" s="13" t="str">
        <f t="shared" si="1"/>
        <v>High</v>
      </c>
      <c r="K32" s="11" t="s">
        <v>300</v>
      </c>
      <c r="L32" s="12" t="s">
        <v>114</v>
      </c>
      <c r="M32" s="12">
        <v>2</v>
      </c>
      <c r="N32" s="12">
        <v>4</v>
      </c>
      <c r="O32" s="12">
        <f t="shared" si="2"/>
        <v>8</v>
      </c>
      <c r="P32" s="8" t="str">
        <f t="shared" si="3"/>
        <v>Medium</v>
      </c>
      <c r="Q32" s="11" t="s">
        <v>301</v>
      </c>
      <c r="R32" s="11" t="s">
        <v>148</v>
      </c>
      <c r="S32" s="11" t="s">
        <v>148</v>
      </c>
      <c r="T32" s="11" t="str">
        <f t="shared" si="4"/>
        <v>Semi-Annual</v>
      </c>
      <c r="U32" s="11" t="s">
        <v>107</v>
      </c>
      <c r="V32" s="11" t="s">
        <v>107</v>
      </c>
      <c r="W32" s="12" t="s">
        <v>13</v>
      </c>
      <c r="X32" s="14"/>
    </row>
    <row r="33" spans="1:24" ht="41.4" x14ac:dyDescent="0.3">
      <c r="A33" s="4" t="s">
        <v>302</v>
      </c>
      <c r="B33" s="5" t="s">
        <v>46</v>
      </c>
      <c r="C33" s="5" t="s">
        <v>303</v>
      </c>
      <c r="D33" s="5" t="s">
        <v>304</v>
      </c>
      <c r="E33" s="5" t="s">
        <v>36</v>
      </c>
      <c r="F33" s="5" t="s">
        <v>305</v>
      </c>
      <c r="G33" s="6">
        <v>3</v>
      </c>
      <c r="H33" s="6">
        <v>5</v>
      </c>
      <c r="I33" s="6">
        <f t="shared" si="0"/>
        <v>15</v>
      </c>
      <c r="J33" s="13" t="str">
        <f t="shared" si="1"/>
        <v>High</v>
      </c>
      <c r="K33" s="5" t="s">
        <v>306</v>
      </c>
      <c r="L33" s="6" t="s">
        <v>114</v>
      </c>
      <c r="M33" s="6">
        <v>2</v>
      </c>
      <c r="N33" s="6">
        <v>4</v>
      </c>
      <c r="O33" s="6">
        <f t="shared" si="2"/>
        <v>8</v>
      </c>
      <c r="P33" s="8" t="str">
        <f t="shared" si="3"/>
        <v>Medium</v>
      </c>
      <c r="Q33" s="5" t="s">
        <v>307</v>
      </c>
      <c r="R33" s="5" t="s">
        <v>226</v>
      </c>
      <c r="S33" s="5" t="s">
        <v>226</v>
      </c>
      <c r="T33" s="5" t="str">
        <f t="shared" si="4"/>
        <v>Semi-Annual</v>
      </c>
      <c r="U33" s="5" t="s">
        <v>107</v>
      </c>
      <c r="V33" s="5" t="s">
        <v>107</v>
      </c>
      <c r="W33" s="6" t="s">
        <v>13</v>
      </c>
      <c r="X33" s="9"/>
    </row>
    <row r="34" spans="1:24" ht="41.4" x14ac:dyDescent="0.3">
      <c r="A34" s="10" t="s">
        <v>308</v>
      </c>
      <c r="B34" s="11" t="s">
        <v>46</v>
      </c>
      <c r="C34" s="11" t="s">
        <v>309</v>
      </c>
      <c r="D34" s="11" t="s">
        <v>310</v>
      </c>
      <c r="E34" s="11" t="s">
        <v>311</v>
      </c>
      <c r="F34" s="11" t="s">
        <v>312</v>
      </c>
      <c r="G34" s="12">
        <v>4</v>
      </c>
      <c r="H34" s="12">
        <v>3</v>
      </c>
      <c r="I34" s="12">
        <f t="shared" si="0"/>
        <v>12</v>
      </c>
      <c r="J34" s="13" t="str">
        <f t="shared" si="1"/>
        <v>High</v>
      </c>
      <c r="K34" s="11" t="s">
        <v>313</v>
      </c>
      <c r="L34" s="12" t="s">
        <v>154</v>
      </c>
      <c r="M34" s="12">
        <v>4</v>
      </c>
      <c r="N34" s="12">
        <v>3</v>
      </c>
      <c r="O34" s="12">
        <f t="shared" si="2"/>
        <v>12</v>
      </c>
      <c r="P34" s="13" t="str">
        <f t="shared" si="3"/>
        <v>High</v>
      </c>
      <c r="Q34" s="11" t="s">
        <v>314</v>
      </c>
      <c r="R34" s="11" t="s">
        <v>226</v>
      </c>
      <c r="S34" s="11" t="s">
        <v>226</v>
      </c>
      <c r="T34" s="11" t="str">
        <f t="shared" si="4"/>
        <v>Quarterly</v>
      </c>
      <c r="U34" s="11" t="s">
        <v>107</v>
      </c>
      <c r="V34" s="11" t="s">
        <v>107</v>
      </c>
      <c r="W34" s="12" t="s">
        <v>13</v>
      </c>
      <c r="X34" s="14"/>
    </row>
    <row r="35" spans="1:24" ht="41.4" x14ac:dyDescent="0.3">
      <c r="A35" s="4" t="s">
        <v>315</v>
      </c>
      <c r="B35" s="5" t="s">
        <v>47</v>
      </c>
      <c r="C35" s="5" t="s">
        <v>316</v>
      </c>
      <c r="D35" s="5" t="s">
        <v>317</v>
      </c>
      <c r="E35" s="5" t="s">
        <v>111</v>
      </c>
      <c r="F35" s="5" t="s">
        <v>318</v>
      </c>
      <c r="G35" s="6">
        <v>3</v>
      </c>
      <c r="H35" s="6">
        <v>5</v>
      </c>
      <c r="I35" s="6">
        <f t="shared" si="0"/>
        <v>15</v>
      </c>
      <c r="J35" s="13" t="str">
        <f t="shared" si="1"/>
        <v>High</v>
      </c>
      <c r="K35" s="5" t="s">
        <v>319</v>
      </c>
      <c r="L35" s="6" t="s">
        <v>114</v>
      </c>
      <c r="M35" s="6">
        <v>2</v>
      </c>
      <c r="N35" s="6">
        <v>4</v>
      </c>
      <c r="O35" s="6">
        <f t="shared" si="2"/>
        <v>8</v>
      </c>
      <c r="P35" s="8" t="str">
        <f t="shared" si="3"/>
        <v>Medium</v>
      </c>
      <c r="Q35" s="5" t="s">
        <v>320</v>
      </c>
      <c r="R35" s="5" t="s">
        <v>321</v>
      </c>
      <c r="S35" s="5" t="s">
        <v>321</v>
      </c>
      <c r="T35" s="5" t="str">
        <f t="shared" si="4"/>
        <v>Semi-Annual</v>
      </c>
      <c r="U35" s="5" t="s">
        <v>107</v>
      </c>
      <c r="V35" s="5" t="s">
        <v>107</v>
      </c>
      <c r="W35" s="6" t="s">
        <v>13</v>
      </c>
      <c r="X35" s="9"/>
    </row>
    <row r="36" spans="1:24" ht="41.4" x14ac:dyDescent="0.3">
      <c r="A36" s="10" t="s">
        <v>322</v>
      </c>
      <c r="B36" s="11" t="s">
        <v>47</v>
      </c>
      <c r="C36" s="11" t="s">
        <v>323</v>
      </c>
      <c r="D36" s="11" t="s">
        <v>324</v>
      </c>
      <c r="E36" s="11" t="s">
        <v>164</v>
      </c>
      <c r="F36" s="11" t="s">
        <v>325</v>
      </c>
      <c r="G36" s="12">
        <v>4</v>
      </c>
      <c r="H36" s="12">
        <v>4</v>
      </c>
      <c r="I36" s="12">
        <f t="shared" si="0"/>
        <v>16</v>
      </c>
      <c r="J36" s="7" t="str">
        <f t="shared" si="1"/>
        <v>Critical</v>
      </c>
      <c r="K36" s="11" t="s">
        <v>326</v>
      </c>
      <c r="L36" s="12" t="s">
        <v>114</v>
      </c>
      <c r="M36" s="12">
        <v>3</v>
      </c>
      <c r="N36" s="12">
        <v>3</v>
      </c>
      <c r="O36" s="12">
        <f t="shared" si="2"/>
        <v>9</v>
      </c>
      <c r="P36" s="8" t="str">
        <f t="shared" si="3"/>
        <v>Medium</v>
      </c>
      <c r="Q36" s="11" t="s">
        <v>327</v>
      </c>
      <c r="R36" s="11" t="s">
        <v>321</v>
      </c>
      <c r="S36" s="11" t="s">
        <v>321</v>
      </c>
      <c r="T36" s="11" t="str">
        <f t="shared" si="4"/>
        <v>Semi-Annual</v>
      </c>
      <c r="U36" s="11" t="s">
        <v>107</v>
      </c>
      <c r="V36" s="11" t="s">
        <v>107</v>
      </c>
      <c r="W36" s="12" t="s">
        <v>13</v>
      </c>
      <c r="X36" s="14"/>
    </row>
    <row r="37" spans="1:24" ht="41.4" x14ac:dyDescent="0.3">
      <c r="A37" s="4" t="s">
        <v>328</v>
      </c>
      <c r="B37" s="5" t="s">
        <v>47</v>
      </c>
      <c r="C37" s="5" t="s">
        <v>329</v>
      </c>
      <c r="D37" s="5" t="s">
        <v>330</v>
      </c>
      <c r="E37" s="5" t="s">
        <v>38</v>
      </c>
      <c r="F37" s="5" t="s">
        <v>331</v>
      </c>
      <c r="G37" s="6">
        <v>3</v>
      </c>
      <c r="H37" s="6">
        <v>3</v>
      </c>
      <c r="I37" s="6">
        <f t="shared" si="0"/>
        <v>9</v>
      </c>
      <c r="J37" s="8" t="str">
        <f t="shared" si="1"/>
        <v>Medium</v>
      </c>
      <c r="K37" s="5" t="s">
        <v>332</v>
      </c>
      <c r="L37" s="6" t="s">
        <v>154</v>
      </c>
      <c r="M37" s="6">
        <v>3</v>
      </c>
      <c r="N37" s="6">
        <v>3</v>
      </c>
      <c r="O37" s="6">
        <f t="shared" si="2"/>
        <v>9</v>
      </c>
      <c r="P37" s="8" t="str">
        <f t="shared" si="3"/>
        <v>Medium</v>
      </c>
      <c r="Q37" s="5" t="s">
        <v>333</v>
      </c>
      <c r="R37" s="5" t="s">
        <v>168</v>
      </c>
      <c r="S37" s="5" t="s">
        <v>168</v>
      </c>
      <c r="T37" s="5" t="str">
        <f t="shared" si="4"/>
        <v>Semi-Annual</v>
      </c>
      <c r="U37" s="5" t="s">
        <v>107</v>
      </c>
      <c r="V37" s="5" t="s">
        <v>107</v>
      </c>
      <c r="W37" s="6" t="s">
        <v>13</v>
      </c>
      <c r="X37" s="9"/>
    </row>
    <row r="38" spans="1:24" ht="41.4" x14ac:dyDescent="0.3">
      <c r="A38" s="10" t="s">
        <v>334</v>
      </c>
      <c r="B38" s="11" t="s">
        <v>47</v>
      </c>
      <c r="C38" s="11" t="s">
        <v>335</v>
      </c>
      <c r="D38" s="11" t="s">
        <v>336</v>
      </c>
      <c r="E38" s="11" t="s">
        <v>111</v>
      </c>
      <c r="F38" s="11" t="s">
        <v>337</v>
      </c>
      <c r="G38" s="12">
        <v>4</v>
      </c>
      <c r="H38" s="12">
        <v>4</v>
      </c>
      <c r="I38" s="12">
        <f t="shared" si="0"/>
        <v>16</v>
      </c>
      <c r="J38" s="7" t="str">
        <f t="shared" si="1"/>
        <v>Critical</v>
      </c>
      <c r="K38" s="11" t="s">
        <v>338</v>
      </c>
      <c r="L38" s="12" t="s">
        <v>154</v>
      </c>
      <c r="M38" s="12">
        <v>4</v>
      </c>
      <c r="N38" s="12">
        <v>4</v>
      </c>
      <c r="O38" s="12">
        <f t="shared" si="2"/>
        <v>16</v>
      </c>
      <c r="P38" s="7" t="str">
        <f t="shared" si="3"/>
        <v>Critical</v>
      </c>
      <c r="Q38" s="11" t="s">
        <v>339</v>
      </c>
      <c r="R38" s="11" t="s">
        <v>148</v>
      </c>
      <c r="S38" s="11" t="s">
        <v>148</v>
      </c>
      <c r="T38" s="11" t="str">
        <f t="shared" si="4"/>
        <v>Monthly</v>
      </c>
      <c r="U38" s="11" t="s">
        <v>107</v>
      </c>
      <c r="V38" s="11" t="s">
        <v>107</v>
      </c>
      <c r="W38" s="12" t="s">
        <v>13</v>
      </c>
      <c r="X38" s="14"/>
    </row>
    <row r="39" spans="1:24" ht="41.4" x14ac:dyDescent="0.3">
      <c r="A39" s="4" t="s">
        <v>340</v>
      </c>
      <c r="B39" s="5" t="s">
        <v>48</v>
      </c>
      <c r="C39" s="5" t="s">
        <v>341</v>
      </c>
      <c r="D39" s="5" t="s">
        <v>342</v>
      </c>
      <c r="E39" s="5" t="s">
        <v>30</v>
      </c>
      <c r="F39" s="5" t="s">
        <v>165</v>
      </c>
      <c r="G39" s="6">
        <v>2</v>
      </c>
      <c r="H39" s="6">
        <v>3</v>
      </c>
      <c r="I39" s="6">
        <f t="shared" si="0"/>
        <v>6</v>
      </c>
      <c r="J39" s="8" t="str">
        <f t="shared" si="1"/>
        <v>Medium</v>
      </c>
      <c r="K39" s="5" t="s">
        <v>343</v>
      </c>
      <c r="L39" s="6" t="s">
        <v>114</v>
      </c>
      <c r="M39" s="6">
        <v>1</v>
      </c>
      <c r="N39" s="6">
        <v>2</v>
      </c>
      <c r="O39" s="6">
        <f t="shared" si="2"/>
        <v>2</v>
      </c>
      <c r="P39" s="15" t="str">
        <f t="shared" si="3"/>
        <v>Low</v>
      </c>
      <c r="Q39" s="5" t="s">
        <v>344</v>
      </c>
      <c r="R39" s="5" t="s">
        <v>168</v>
      </c>
      <c r="S39" s="5" t="s">
        <v>168</v>
      </c>
      <c r="T39" s="5" t="str">
        <f t="shared" si="4"/>
        <v>Annual</v>
      </c>
      <c r="U39" s="5" t="s">
        <v>107</v>
      </c>
      <c r="V39" s="5" t="s">
        <v>107</v>
      </c>
      <c r="W39" s="6" t="s">
        <v>13</v>
      </c>
      <c r="X39" s="9"/>
    </row>
    <row r="40" spans="1:24" ht="41.4" x14ac:dyDescent="0.3">
      <c r="A40" s="10" t="s">
        <v>345</v>
      </c>
      <c r="B40" s="11" t="s">
        <v>48</v>
      </c>
      <c r="C40" s="11" t="s">
        <v>346</v>
      </c>
      <c r="D40" s="11" t="s">
        <v>347</v>
      </c>
      <c r="E40" s="11" t="s">
        <v>164</v>
      </c>
      <c r="F40" s="11" t="s">
        <v>348</v>
      </c>
      <c r="G40" s="12">
        <v>3</v>
      </c>
      <c r="H40" s="12">
        <v>4</v>
      </c>
      <c r="I40" s="12">
        <f t="shared" si="0"/>
        <v>12</v>
      </c>
      <c r="J40" s="13" t="str">
        <f t="shared" si="1"/>
        <v>High</v>
      </c>
      <c r="K40" s="11" t="s">
        <v>349</v>
      </c>
      <c r="L40" s="12" t="s">
        <v>154</v>
      </c>
      <c r="M40" s="12">
        <v>3</v>
      </c>
      <c r="N40" s="12">
        <v>4</v>
      </c>
      <c r="O40" s="12">
        <f t="shared" si="2"/>
        <v>12</v>
      </c>
      <c r="P40" s="13" t="str">
        <f t="shared" si="3"/>
        <v>High</v>
      </c>
      <c r="Q40" s="11" t="s">
        <v>350</v>
      </c>
      <c r="R40" s="11" t="s">
        <v>140</v>
      </c>
      <c r="S40" s="11" t="s">
        <v>140</v>
      </c>
      <c r="T40" s="11" t="str">
        <f t="shared" si="4"/>
        <v>Quarterly</v>
      </c>
      <c r="U40" s="11" t="s">
        <v>107</v>
      </c>
      <c r="V40" s="11" t="s">
        <v>107</v>
      </c>
      <c r="W40" s="12" t="s">
        <v>13</v>
      </c>
      <c r="X40" s="14"/>
    </row>
    <row r="41" spans="1:24" ht="41.4" x14ac:dyDescent="0.3">
      <c r="A41" s="4" t="s">
        <v>351</v>
      </c>
      <c r="B41" s="5" t="s">
        <v>48</v>
      </c>
      <c r="C41" s="5" t="s">
        <v>352</v>
      </c>
      <c r="D41" s="5" t="s">
        <v>353</v>
      </c>
      <c r="E41" s="5" t="s">
        <v>196</v>
      </c>
      <c r="F41" s="5" t="s">
        <v>354</v>
      </c>
      <c r="G41" s="6">
        <v>3</v>
      </c>
      <c r="H41" s="6">
        <v>4</v>
      </c>
      <c r="I41" s="6">
        <f t="shared" si="0"/>
        <v>12</v>
      </c>
      <c r="J41" s="13" t="str">
        <f t="shared" si="1"/>
        <v>High</v>
      </c>
      <c r="K41" s="5" t="s">
        <v>355</v>
      </c>
      <c r="L41" s="6" t="s">
        <v>154</v>
      </c>
      <c r="M41" s="6">
        <v>3</v>
      </c>
      <c r="N41" s="6">
        <v>4</v>
      </c>
      <c r="O41" s="6">
        <f t="shared" si="2"/>
        <v>12</v>
      </c>
      <c r="P41" s="13" t="str">
        <f t="shared" si="3"/>
        <v>High</v>
      </c>
      <c r="Q41" s="5" t="s">
        <v>356</v>
      </c>
      <c r="R41" s="5" t="s">
        <v>180</v>
      </c>
      <c r="S41" s="5" t="s">
        <v>180</v>
      </c>
      <c r="T41" s="5" t="str">
        <f t="shared" si="4"/>
        <v>Quarterly</v>
      </c>
      <c r="U41" s="5" t="s">
        <v>107</v>
      </c>
      <c r="V41" s="5" t="s">
        <v>107</v>
      </c>
      <c r="W41" s="6" t="s">
        <v>13</v>
      </c>
      <c r="X41" s="9"/>
    </row>
    <row r="42" spans="1:24" ht="41.4" x14ac:dyDescent="0.3">
      <c r="A42" s="10" t="s">
        <v>357</v>
      </c>
      <c r="B42" s="11" t="s">
        <v>49</v>
      </c>
      <c r="C42" s="11" t="s">
        <v>358</v>
      </c>
      <c r="D42" s="11" t="s">
        <v>359</v>
      </c>
      <c r="E42" s="11" t="s">
        <v>111</v>
      </c>
      <c r="F42" s="11" t="s">
        <v>360</v>
      </c>
      <c r="G42" s="12">
        <v>3</v>
      </c>
      <c r="H42" s="12">
        <v>5</v>
      </c>
      <c r="I42" s="12">
        <f t="shared" si="0"/>
        <v>15</v>
      </c>
      <c r="J42" s="13" t="str">
        <f t="shared" si="1"/>
        <v>High</v>
      </c>
      <c r="K42" s="11" t="s">
        <v>361</v>
      </c>
      <c r="L42" s="12" t="s">
        <v>114</v>
      </c>
      <c r="M42" s="12">
        <v>2</v>
      </c>
      <c r="N42" s="12">
        <v>4</v>
      </c>
      <c r="O42" s="12">
        <f t="shared" si="2"/>
        <v>8</v>
      </c>
      <c r="P42" s="8" t="str">
        <f t="shared" si="3"/>
        <v>Medium</v>
      </c>
      <c r="Q42" s="11" t="s">
        <v>362</v>
      </c>
      <c r="R42" s="11" t="s">
        <v>363</v>
      </c>
      <c r="S42" s="11" t="s">
        <v>363</v>
      </c>
      <c r="T42" s="11" t="str">
        <f t="shared" si="4"/>
        <v>Semi-Annual</v>
      </c>
      <c r="U42" s="11" t="s">
        <v>107</v>
      </c>
      <c r="V42" s="11" t="s">
        <v>107</v>
      </c>
      <c r="W42" s="12" t="s">
        <v>13</v>
      </c>
      <c r="X42" s="14"/>
    </row>
    <row r="43" spans="1:24" ht="41.4" x14ac:dyDescent="0.3">
      <c r="A43" s="4" t="s">
        <v>364</v>
      </c>
      <c r="B43" s="5" t="s">
        <v>49</v>
      </c>
      <c r="C43" s="5" t="s">
        <v>365</v>
      </c>
      <c r="D43" s="5" t="s">
        <v>366</v>
      </c>
      <c r="E43" s="5" t="s">
        <v>367</v>
      </c>
      <c r="F43" s="5" t="s">
        <v>368</v>
      </c>
      <c r="G43" s="6">
        <v>3</v>
      </c>
      <c r="H43" s="6">
        <v>4</v>
      </c>
      <c r="I43" s="6">
        <f t="shared" si="0"/>
        <v>12</v>
      </c>
      <c r="J43" s="13" t="str">
        <f t="shared" si="1"/>
        <v>High</v>
      </c>
      <c r="K43" s="5" t="s">
        <v>369</v>
      </c>
      <c r="L43" s="6" t="s">
        <v>114</v>
      </c>
      <c r="M43" s="6">
        <v>2</v>
      </c>
      <c r="N43" s="6">
        <v>3</v>
      </c>
      <c r="O43" s="6">
        <f t="shared" si="2"/>
        <v>6</v>
      </c>
      <c r="P43" s="8" t="str">
        <f t="shared" si="3"/>
        <v>Medium</v>
      </c>
      <c r="Q43" s="5" t="s">
        <v>370</v>
      </c>
      <c r="R43" s="5" t="s">
        <v>363</v>
      </c>
      <c r="S43" s="5" t="s">
        <v>363</v>
      </c>
      <c r="T43" s="5" t="str">
        <f t="shared" si="4"/>
        <v>Semi-Annual</v>
      </c>
      <c r="U43" s="5" t="s">
        <v>107</v>
      </c>
      <c r="V43" s="5" t="s">
        <v>107</v>
      </c>
      <c r="W43" s="6" t="s">
        <v>13</v>
      </c>
      <c r="X43" s="9"/>
    </row>
    <row r="44" spans="1:24" ht="41.4" x14ac:dyDescent="0.3">
      <c r="A44" s="10" t="s">
        <v>371</v>
      </c>
      <c r="B44" s="11" t="s">
        <v>49</v>
      </c>
      <c r="C44" s="11" t="s">
        <v>372</v>
      </c>
      <c r="D44" s="11" t="s">
        <v>373</v>
      </c>
      <c r="E44" s="11" t="s">
        <v>374</v>
      </c>
      <c r="F44" s="11" t="s">
        <v>375</v>
      </c>
      <c r="G44" s="12">
        <v>3</v>
      </c>
      <c r="H44" s="12">
        <v>4</v>
      </c>
      <c r="I44" s="12">
        <f t="shared" si="0"/>
        <v>12</v>
      </c>
      <c r="J44" s="13" t="str">
        <f t="shared" si="1"/>
        <v>High</v>
      </c>
      <c r="K44" s="11" t="s">
        <v>376</v>
      </c>
      <c r="L44" s="12" t="s">
        <v>114</v>
      </c>
      <c r="M44" s="12">
        <v>2</v>
      </c>
      <c r="N44" s="12">
        <v>3</v>
      </c>
      <c r="O44" s="12">
        <f t="shared" si="2"/>
        <v>6</v>
      </c>
      <c r="P44" s="8" t="str">
        <f t="shared" si="3"/>
        <v>Medium</v>
      </c>
      <c r="Q44" s="11" t="s">
        <v>377</v>
      </c>
      <c r="R44" s="11" t="s">
        <v>148</v>
      </c>
      <c r="S44" s="11" t="s">
        <v>148</v>
      </c>
      <c r="T44" s="11" t="str">
        <f t="shared" si="4"/>
        <v>Semi-Annual</v>
      </c>
      <c r="U44" s="11" t="s">
        <v>107</v>
      </c>
      <c r="V44" s="11" t="s">
        <v>107</v>
      </c>
      <c r="W44" s="12" t="s">
        <v>13</v>
      </c>
      <c r="X44" s="14"/>
    </row>
    <row r="45" spans="1:24" ht="41.4" x14ac:dyDescent="0.3">
      <c r="A45" s="16" t="s">
        <v>378</v>
      </c>
      <c r="B45" s="17" t="s">
        <v>49</v>
      </c>
      <c r="C45" s="17" t="s">
        <v>379</v>
      </c>
      <c r="D45" s="17" t="s">
        <v>380</v>
      </c>
      <c r="E45" s="17" t="s">
        <v>381</v>
      </c>
      <c r="F45" s="17" t="s">
        <v>382</v>
      </c>
      <c r="G45" s="18">
        <v>2</v>
      </c>
      <c r="H45" s="18">
        <v>5</v>
      </c>
      <c r="I45" s="18">
        <f t="shared" si="0"/>
        <v>10</v>
      </c>
      <c r="J45" s="19" t="str">
        <f t="shared" si="1"/>
        <v>High</v>
      </c>
      <c r="K45" s="17" t="s">
        <v>383</v>
      </c>
      <c r="L45" s="18" t="s">
        <v>114</v>
      </c>
      <c r="M45" s="18">
        <v>1</v>
      </c>
      <c r="N45" s="18">
        <v>4</v>
      </c>
      <c r="O45" s="18">
        <f t="shared" si="2"/>
        <v>4</v>
      </c>
      <c r="P45" s="20" t="str">
        <f t="shared" si="3"/>
        <v>Low</v>
      </c>
      <c r="Q45" s="17" t="s">
        <v>384</v>
      </c>
      <c r="R45" s="17" t="s">
        <v>363</v>
      </c>
      <c r="S45" s="17" t="s">
        <v>363</v>
      </c>
      <c r="T45" s="17" t="str">
        <f t="shared" si="4"/>
        <v>Annual</v>
      </c>
      <c r="U45" s="17" t="s">
        <v>107</v>
      </c>
      <c r="V45" s="17" t="s">
        <v>107</v>
      </c>
      <c r="W45" s="18" t="s">
        <v>13</v>
      </c>
      <c r="X45" s="21"/>
    </row>
    <row r="48" spans="1:24" x14ac:dyDescent="0.3">
      <c r="A48" s="82" t="s">
        <v>385</v>
      </c>
      <c r="B48" s="79"/>
      <c r="C48" s="79"/>
      <c r="D48" s="79"/>
    </row>
    <row r="49" spans="1:2" x14ac:dyDescent="0.3">
      <c r="A49" s="7" t="s">
        <v>11</v>
      </c>
      <c r="B49" s="7" t="s">
        <v>386</v>
      </c>
    </row>
    <row r="50" spans="1:2" x14ac:dyDescent="0.3">
      <c r="A50" s="13" t="s">
        <v>14</v>
      </c>
      <c r="B50" s="13" t="s">
        <v>387</v>
      </c>
    </row>
    <row r="51" spans="1:2" x14ac:dyDescent="0.3">
      <c r="A51" s="8" t="s">
        <v>17</v>
      </c>
      <c r="B51" s="8" t="s">
        <v>388</v>
      </c>
    </row>
    <row r="52" spans="1:2" x14ac:dyDescent="0.3">
      <c r="A52" s="15" t="s">
        <v>20</v>
      </c>
      <c r="B52" s="15" t="s">
        <v>389</v>
      </c>
    </row>
  </sheetData>
  <mergeCells count="2">
    <mergeCell ref="A48:D48"/>
    <mergeCell ref="A1:X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
  <sheetViews>
    <sheetView workbookViewId="0">
      <selection sqref="A1:H1"/>
    </sheetView>
  </sheetViews>
  <sheetFormatPr defaultRowHeight="14.4" x14ac:dyDescent="0.3"/>
  <cols>
    <col min="1" max="1" width="42" customWidth="1"/>
    <col min="2" max="2" width="22" customWidth="1"/>
    <col min="3" max="3" width="18" customWidth="1"/>
    <col min="4" max="4" width="15" customWidth="1"/>
    <col min="5" max="5" width="38" customWidth="1"/>
    <col min="6" max="6" width="52" customWidth="1"/>
    <col min="7" max="7" width="38" customWidth="1"/>
    <col min="8" max="8" width="10" customWidth="1"/>
  </cols>
  <sheetData>
    <row r="1" spans="1:8" ht="31.95" customHeight="1" x14ac:dyDescent="0.4">
      <c r="A1" s="85" t="s">
        <v>390</v>
      </c>
      <c r="B1" s="79"/>
      <c r="C1" s="79"/>
      <c r="D1" s="79"/>
      <c r="E1" s="79"/>
      <c r="F1" s="79"/>
      <c r="G1" s="79"/>
      <c r="H1" s="79"/>
    </row>
    <row r="2" spans="1:8" ht="36" customHeight="1" x14ac:dyDescent="0.3">
      <c r="A2" s="1" t="s">
        <v>391</v>
      </c>
      <c r="B2" s="2" t="s">
        <v>392</v>
      </c>
      <c r="C2" s="2" t="s">
        <v>393</v>
      </c>
      <c r="D2" s="2" t="s">
        <v>394</v>
      </c>
      <c r="E2" s="2" t="s">
        <v>395</v>
      </c>
      <c r="F2" s="2" t="s">
        <v>396</v>
      </c>
      <c r="G2" s="2" t="s">
        <v>397</v>
      </c>
      <c r="H2" s="3" t="s">
        <v>9</v>
      </c>
    </row>
    <row r="3" spans="1:8" ht="109.95" customHeight="1" x14ac:dyDescent="0.3">
      <c r="A3" s="22" t="s">
        <v>398</v>
      </c>
      <c r="B3" s="5" t="s">
        <v>30</v>
      </c>
      <c r="C3" s="5" t="s">
        <v>399</v>
      </c>
      <c r="D3" s="23">
        <v>46054</v>
      </c>
      <c r="E3" s="5" t="s">
        <v>400</v>
      </c>
      <c r="F3" s="5" t="s">
        <v>401</v>
      </c>
      <c r="G3" s="5" t="s">
        <v>402</v>
      </c>
      <c r="H3" s="24" t="s">
        <v>403</v>
      </c>
    </row>
    <row r="4" spans="1:8" ht="109.95" customHeight="1" x14ac:dyDescent="0.3">
      <c r="A4" s="25" t="s">
        <v>404</v>
      </c>
      <c r="B4" s="11" t="s">
        <v>32</v>
      </c>
      <c r="C4" s="11" t="s">
        <v>405</v>
      </c>
      <c r="D4" s="26">
        <v>46023</v>
      </c>
      <c r="E4" s="11" t="s">
        <v>406</v>
      </c>
      <c r="F4" s="11" t="s">
        <v>407</v>
      </c>
      <c r="G4" s="11" t="s">
        <v>408</v>
      </c>
      <c r="H4" s="24" t="s">
        <v>403</v>
      </c>
    </row>
    <row r="5" spans="1:8" ht="109.95" customHeight="1" x14ac:dyDescent="0.3">
      <c r="A5" s="22" t="s">
        <v>409</v>
      </c>
      <c r="B5" s="5" t="s">
        <v>34</v>
      </c>
      <c r="C5" s="5" t="s">
        <v>410</v>
      </c>
      <c r="D5" s="23">
        <v>46023</v>
      </c>
      <c r="E5" s="5" t="s">
        <v>411</v>
      </c>
      <c r="F5" s="5" t="s">
        <v>412</v>
      </c>
      <c r="G5" s="5" t="s">
        <v>413</v>
      </c>
      <c r="H5" s="24" t="s">
        <v>403</v>
      </c>
    </row>
    <row r="6" spans="1:8" ht="109.95" customHeight="1" x14ac:dyDescent="0.3">
      <c r="A6" s="25" t="s">
        <v>414</v>
      </c>
      <c r="B6" s="11" t="s">
        <v>36</v>
      </c>
      <c r="C6" s="11" t="s">
        <v>415</v>
      </c>
      <c r="D6" s="26">
        <v>45658</v>
      </c>
      <c r="E6" s="11" t="s">
        <v>416</v>
      </c>
      <c r="F6" s="11" t="s">
        <v>417</v>
      </c>
      <c r="G6" s="11" t="s">
        <v>418</v>
      </c>
      <c r="H6" s="24" t="s">
        <v>403</v>
      </c>
    </row>
    <row r="7" spans="1:8" ht="109.95" customHeight="1" x14ac:dyDescent="0.3">
      <c r="A7" s="22" t="s">
        <v>419</v>
      </c>
      <c r="B7" s="5" t="s">
        <v>38</v>
      </c>
      <c r="C7" s="5" t="s">
        <v>415</v>
      </c>
      <c r="D7" s="23">
        <v>46023</v>
      </c>
      <c r="E7" s="5" t="s">
        <v>420</v>
      </c>
      <c r="F7" s="5" t="s">
        <v>421</v>
      </c>
      <c r="G7" s="5" t="s">
        <v>422</v>
      </c>
      <c r="H7" s="24" t="s">
        <v>403</v>
      </c>
    </row>
    <row r="8" spans="1:8" ht="109.95" customHeight="1" x14ac:dyDescent="0.3">
      <c r="A8" s="25" t="s">
        <v>423</v>
      </c>
      <c r="B8" s="11" t="s">
        <v>40</v>
      </c>
      <c r="C8" s="11" t="s">
        <v>415</v>
      </c>
      <c r="D8" s="26">
        <v>45658</v>
      </c>
      <c r="E8" s="11" t="s">
        <v>424</v>
      </c>
      <c r="F8" s="11" t="s">
        <v>425</v>
      </c>
      <c r="G8" s="11" t="s">
        <v>426</v>
      </c>
      <c r="H8" s="24" t="s">
        <v>403</v>
      </c>
    </row>
    <row r="9" spans="1:8" ht="109.95" customHeight="1" x14ac:dyDescent="0.3">
      <c r="A9" s="27" t="s">
        <v>427</v>
      </c>
      <c r="B9" s="17" t="s">
        <v>42</v>
      </c>
      <c r="C9" s="17" t="s">
        <v>428</v>
      </c>
      <c r="D9" s="28">
        <v>45112</v>
      </c>
      <c r="E9" s="17" t="s">
        <v>429</v>
      </c>
      <c r="F9" s="17" t="s">
        <v>430</v>
      </c>
      <c r="G9" s="17" t="s">
        <v>431</v>
      </c>
      <c r="H9" s="29" t="s">
        <v>403</v>
      </c>
    </row>
    <row r="11" spans="1:8" ht="30" customHeight="1" x14ac:dyDescent="0.3">
      <c r="A11" s="84" t="s">
        <v>432</v>
      </c>
      <c r="B11" s="79"/>
      <c r="C11" s="79"/>
      <c r="D11" s="79"/>
      <c r="E11" s="79"/>
      <c r="F11" s="79"/>
      <c r="G11" s="79"/>
      <c r="H11" s="79"/>
    </row>
  </sheetData>
  <mergeCells count="2">
    <mergeCell ref="A11:H11"/>
    <mergeCell ref="A1:H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Register</vt:lpstr>
      <vt:lpstr>Regulatory 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Michael Kramer</cp:lastModifiedBy>
  <dcterms:created xsi:type="dcterms:W3CDTF">2026-08-21T14:34:26Z</dcterms:created>
  <dcterms:modified xsi:type="dcterms:W3CDTF">2026-08-21T14:39:34Z</dcterms:modified>
</cp:coreProperties>
</file>